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showInkAnnotation="0"/>
  <mc:AlternateContent xmlns:mc="http://schemas.openxmlformats.org/markup-compatibility/2006">
    <mc:Choice Requires="x15">
      <x15ac:absPath xmlns:x15ac="http://schemas.microsoft.com/office/spreadsheetml/2010/11/ac" url="E:\Arhiv_doci\Решения 2019 года\Решения предстоящего Совет\отчет об исп. бюджета за 2018 г\"/>
    </mc:Choice>
  </mc:AlternateContent>
  <xr:revisionPtr revIDLastSave="0" documentId="13_ncr:1_{3C423760-19E2-40BB-AC9B-04266904187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" sheetId="3" r:id="rId1"/>
  </sheets>
  <definedNames>
    <definedName name="_xlnm._FilterDatabase" localSheetId="0" hidden="1">'2018'!$A$12:$D$370</definedName>
  </definedNames>
  <calcPr calcId="181029"/>
</workbook>
</file>

<file path=xl/calcChain.xml><?xml version="1.0" encoding="utf-8"?>
<calcChain xmlns="http://schemas.openxmlformats.org/spreadsheetml/2006/main">
  <c r="L282" i="3" l="1"/>
  <c r="F273" i="3"/>
  <c r="J273" i="3" s="1"/>
  <c r="J272" i="3" s="1"/>
  <c r="L272" i="3"/>
  <c r="K272" i="3"/>
  <c r="I272" i="3"/>
  <c r="H272" i="3"/>
  <c r="G272" i="3"/>
  <c r="D272" i="3"/>
  <c r="L254" i="3"/>
  <c r="L227" i="3"/>
  <c r="K227" i="3"/>
  <c r="K211" i="3"/>
  <c r="K208" i="3"/>
  <c r="K206" i="3"/>
  <c r="K204" i="3"/>
  <c r="L203" i="3"/>
  <c r="L173" i="3"/>
  <c r="K173" i="3"/>
  <c r="L113" i="3"/>
  <c r="K113" i="3"/>
  <c r="L110" i="3"/>
  <c r="K110" i="3"/>
  <c r="K78" i="3"/>
  <c r="K22" i="3"/>
  <c r="K17" i="3"/>
  <c r="K16" i="3" s="1"/>
  <c r="F272" i="3" l="1"/>
  <c r="L368" i="3"/>
  <c r="L366" i="3"/>
  <c r="L365" i="3" s="1"/>
  <c r="L363" i="3"/>
  <c r="L361" i="3"/>
  <c r="L357" i="3"/>
  <c r="L356" i="3" s="1"/>
  <c r="L354" i="3"/>
  <c r="L353" i="3" s="1"/>
  <c r="L351" i="3"/>
  <c r="L349" i="3"/>
  <c r="L348" i="3" s="1"/>
  <c r="L346" i="3"/>
  <c r="L345" i="3" s="1"/>
  <c r="L343" i="3"/>
  <c r="L342" i="3" s="1"/>
  <c r="L339" i="3"/>
  <c r="L338" i="3" s="1"/>
  <c r="L335" i="3"/>
  <c r="L334" i="3" s="1"/>
  <c r="L331" i="3"/>
  <c r="L330" i="3" s="1"/>
  <c r="L325" i="3"/>
  <c r="L324" i="3" s="1"/>
  <c r="L321" i="3"/>
  <c r="L319" i="3"/>
  <c r="L315" i="3"/>
  <c r="L314" i="3" s="1"/>
  <c r="L310" i="3"/>
  <c r="L309" i="3" s="1"/>
  <c r="L306" i="3"/>
  <c r="L304" i="3"/>
  <c r="L303" i="3" s="1"/>
  <c r="L300" i="3"/>
  <c r="L298" i="3"/>
  <c r="L294" i="3"/>
  <c r="L292" i="3"/>
  <c r="L290" i="3"/>
  <c r="L288" i="3"/>
  <c r="L286" i="3"/>
  <c r="L284" i="3"/>
  <c r="L280" i="3"/>
  <c r="L278" i="3"/>
  <c r="L276" i="3"/>
  <c r="L274" i="3"/>
  <c r="L270" i="3"/>
  <c r="L268" i="3"/>
  <c r="L266" i="3"/>
  <c r="L264" i="3"/>
  <c r="L262" i="3"/>
  <c r="L260" i="3"/>
  <c r="L258" i="3"/>
  <c r="L256" i="3"/>
  <c r="L252" i="3"/>
  <c r="L250" i="3"/>
  <c r="L248" i="3"/>
  <c r="L244" i="3"/>
  <c r="L240" i="3"/>
  <c r="L239" i="3" s="1"/>
  <c r="L237" i="3"/>
  <c r="L236" i="3" s="1"/>
  <c r="L233" i="3"/>
  <c r="L231" i="3"/>
  <c r="L225" i="3"/>
  <c r="L222" i="3"/>
  <c r="L220" i="3"/>
  <c r="L218" i="3"/>
  <c r="L213" i="3"/>
  <c r="L210" i="3"/>
  <c r="L209" i="3" s="1"/>
  <c r="L207" i="3"/>
  <c r="L205" i="3"/>
  <c r="L201" i="3"/>
  <c r="L199" i="3"/>
  <c r="L197" i="3"/>
  <c r="L194" i="3"/>
  <c r="L187" i="3"/>
  <c r="L185" i="3"/>
  <c r="L184" i="3" s="1"/>
  <c r="L182" i="3"/>
  <c r="L176" i="3"/>
  <c r="L170" i="3"/>
  <c r="L168" i="3"/>
  <c r="L166" i="3"/>
  <c r="L163" i="3"/>
  <c r="L160" i="3"/>
  <c r="L159" i="3" s="1"/>
  <c r="L157" i="3"/>
  <c r="L154" i="3"/>
  <c r="L152" i="3"/>
  <c r="L150" i="3"/>
  <c r="L149" i="3" s="1"/>
  <c r="L147" i="3"/>
  <c r="L145" i="3"/>
  <c r="L144" i="3" s="1"/>
  <c r="L141" i="3"/>
  <c r="L140" i="3" s="1"/>
  <c r="L137" i="3"/>
  <c r="L136" i="3" s="1"/>
  <c r="L133" i="3"/>
  <c r="L132" i="3" s="1"/>
  <c r="L129" i="3"/>
  <c r="L127" i="3"/>
  <c r="L123" i="3"/>
  <c r="L121" i="3" s="1"/>
  <c r="L119" i="3"/>
  <c r="L109" i="3" s="1"/>
  <c r="L108" i="3" s="1"/>
  <c r="L116" i="3"/>
  <c r="L106" i="3"/>
  <c r="L104" i="3"/>
  <c r="L103" i="3" s="1"/>
  <c r="L99" i="3"/>
  <c r="L97" i="3"/>
  <c r="L93" i="3"/>
  <c r="L91" i="3"/>
  <c r="L89" i="3"/>
  <c r="L87" i="3"/>
  <c r="L82" i="3"/>
  <c r="L81" i="3" s="1"/>
  <c r="L78" i="3"/>
  <c r="L77" i="3" s="1"/>
  <c r="L74" i="3"/>
  <c r="L73" i="3" s="1"/>
  <c r="L69" i="3"/>
  <c r="L68" i="3" s="1"/>
  <c r="L67" i="3" s="1"/>
  <c r="L65" i="3"/>
  <c r="L63" i="3"/>
  <c r="L61" i="3"/>
  <c r="L58" i="3"/>
  <c r="L56" i="3"/>
  <c r="L52" i="3"/>
  <c r="L49" i="3"/>
  <c r="L45" i="3"/>
  <c r="L44" i="3" s="1"/>
  <c r="L40" i="3"/>
  <c r="L39" i="3" s="1"/>
  <c r="L36" i="3"/>
  <c r="L34" i="3"/>
  <c r="L33" i="3" s="1"/>
  <c r="L31" i="3"/>
  <c r="L27" i="3"/>
  <c r="L22" i="3"/>
  <c r="L17" i="3"/>
  <c r="L16" i="3" s="1"/>
  <c r="L14" i="3"/>
  <c r="L13" i="3" s="1"/>
  <c r="L247" i="3" l="1"/>
  <c r="L246" i="3" s="1"/>
  <c r="L318" i="3"/>
  <c r="L193" i="3"/>
  <c r="L192" i="3" s="1"/>
  <c r="L297" i="3"/>
  <c r="L296" i="3" s="1"/>
  <c r="L102" i="3"/>
  <c r="L96" i="3"/>
  <c r="L95" i="3" s="1"/>
  <c r="L86" i="3"/>
  <c r="L85" i="3" s="1"/>
  <c r="L360" i="3"/>
  <c r="L26" i="3"/>
  <c r="L21" i="3" s="1"/>
  <c r="L12" i="3" s="1"/>
  <c r="L302" i="3"/>
  <c r="L48" i="3"/>
  <c r="L55" i="3"/>
  <c r="L54" i="3" s="1"/>
  <c r="L126" i="3"/>
  <c r="L125" i="3" s="1"/>
  <c r="L131" i="3"/>
  <c r="L217" i="3"/>
  <c r="L230" i="3"/>
  <c r="L341" i="3"/>
  <c r="L323" i="3"/>
  <c r="L162" i="3"/>
  <c r="L333" i="3"/>
  <c r="L122" i="3"/>
  <c r="K151" i="3"/>
  <c r="K148" i="3"/>
  <c r="K89" i="3"/>
  <c r="K83" i="3"/>
  <c r="K214" i="3"/>
  <c r="K195" i="3"/>
  <c r="K222" i="3"/>
  <c r="I223" i="3"/>
  <c r="J223" i="3" s="1"/>
  <c r="K74" i="3"/>
  <c r="K99" i="3"/>
  <c r="F100" i="3"/>
  <c r="J100" i="3" s="1"/>
  <c r="L235" i="3" l="1"/>
  <c r="L216" i="3"/>
  <c r="L156" i="3" s="1"/>
  <c r="L72" i="3"/>
  <c r="L38" i="3"/>
  <c r="K187" i="3"/>
  <c r="K325" i="3"/>
  <c r="F328" i="3"/>
  <c r="K276" i="3"/>
  <c r="K116" i="3"/>
  <c r="F117" i="3"/>
  <c r="J117" i="3" s="1"/>
  <c r="J116" i="3" s="1"/>
  <c r="K69" i="3"/>
  <c r="K58" i="3"/>
  <c r="I189" i="3"/>
  <c r="F189" i="3"/>
  <c r="I59" i="3"/>
  <c r="F59" i="3"/>
  <c r="K49" i="3"/>
  <c r="I50" i="3"/>
  <c r="F50" i="3"/>
  <c r="K213" i="3"/>
  <c r="J214" i="3"/>
  <c r="J213" i="3" s="1"/>
  <c r="K210" i="3"/>
  <c r="F211" i="3"/>
  <c r="J211" i="3" s="1"/>
  <c r="J210" i="3" s="1"/>
  <c r="F198" i="3"/>
  <c r="J198" i="3" s="1"/>
  <c r="J197" i="3" s="1"/>
  <c r="K197" i="3"/>
  <c r="I197" i="3"/>
  <c r="H197" i="3"/>
  <c r="G197" i="3"/>
  <c r="E197" i="3"/>
  <c r="K170" i="3"/>
  <c r="J171" i="3"/>
  <c r="J170" i="3" s="1"/>
  <c r="K306" i="3"/>
  <c r="K290" i="3"/>
  <c r="K288" i="3"/>
  <c r="K286" i="3"/>
  <c r="K284" i="3"/>
  <c r="K258" i="3"/>
  <c r="K233" i="3"/>
  <c r="K231" i="3"/>
  <c r="K185" i="3"/>
  <c r="K184" i="3" s="1"/>
  <c r="J221" i="3"/>
  <c r="J220" i="3" s="1"/>
  <c r="I220" i="3"/>
  <c r="H220" i="3"/>
  <c r="G220" i="3"/>
  <c r="F219" i="3"/>
  <c r="J219" i="3" s="1"/>
  <c r="J218" i="3" s="1"/>
  <c r="I218" i="3"/>
  <c r="H218" i="3"/>
  <c r="G218" i="3"/>
  <c r="E218" i="3"/>
  <c r="E217" i="3" s="1"/>
  <c r="E216" i="3" s="1"/>
  <c r="D218" i="3"/>
  <c r="D217" i="3" s="1"/>
  <c r="D216" i="3" s="1"/>
  <c r="L370" i="3" l="1"/>
  <c r="J189" i="3"/>
  <c r="F197" i="3"/>
  <c r="K220" i="3"/>
  <c r="K230" i="3"/>
  <c r="K218" i="3"/>
  <c r="G217" i="3"/>
  <c r="G216" i="3" s="1"/>
  <c r="F218" i="3"/>
  <c r="F217" i="3" s="1"/>
  <c r="F216" i="3" s="1"/>
  <c r="H217" i="3"/>
  <c r="H216" i="3" s="1"/>
  <c r="I217" i="3"/>
  <c r="I216" i="3" s="1"/>
  <c r="J217" i="3"/>
  <c r="J233" i="3"/>
  <c r="J231" i="3"/>
  <c r="K217" i="3" l="1"/>
  <c r="J230" i="3"/>
  <c r="J227" i="3"/>
  <c r="J290" i="3"/>
  <c r="J288" i="3"/>
  <c r="J286" i="3"/>
  <c r="J284" i="3"/>
  <c r="J185" i="3"/>
  <c r="F183" i="3"/>
  <c r="J183" i="3" s="1"/>
  <c r="I225" i="3"/>
  <c r="I190" i="3"/>
  <c r="I191" i="3"/>
  <c r="J191" i="3" s="1"/>
  <c r="K191" i="3" s="1"/>
  <c r="L191" i="3" s="1"/>
  <c r="I60" i="3"/>
  <c r="I58" i="3" s="1"/>
  <c r="I51" i="3"/>
  <c r="I139" i="3"/>
  <c r="I137" i="3" s="1"/>
  <c r="I136" i="3" s="1"/>
  <c r="I177" i="3"/>
  <c r="I178" i="3"/>
  <c r="J178" i="3" s="1"/>
  <c r="I224" i="3"/>
  <c r="J224" i="3" s="1"/>
  <c r="I340" i="3"/>
  <c r="I339" i="3" s="1"/>
  <c r="I338" i="3" s="1"/>
  <c r="I37" i="3"/>
  <c r="J37" i="3" s="1"/>
  <c r="I369" i="3"/>
  <c r="I368" i="3" s="1"/>
  <c r="I226" i="3"/>
  <c r="J226" i="3" s="1"/>
  <c r="I24" i="3"/>
  <c r="I23" i="3"/>
  <c r="G177" i="3"/>
  <c r="G176" i="3" s="1"/>
  <c r="G69" i="3"/>
  <c r="G68" i="3" s="1"/>
  <c r="G67" i="3" s="1"/>
  <c r="G368" i="3"/>
  <c r="I33" i="3"/>
  <c r="I31" i="3"/>
  <c r="I27" i="3"/>
  <c r="I17" i="3"/>
  <c r="I16" i="3" s="1"/>
  <c r="G17" i="3"/>
  <c r="G16" i="3" s="1"/>
  <c r="H17" i="3"/>
  <c r="H16" i="3" s="1"/>
  <c r="G240" i="3"/>
  <c r="H240" i="3"/>
  <c r="I240" i="3"/>
  <c r="J281" i="3"/>
  <c r="J269" i="3"/>
  <c r="F268" i="3"/>
  <c r="I268" i="3"/>
  <c r="H268" i="3"/>
  <c r="G268" i="3"/>
  <c r="D268" i="3"/>
  <c r="J245" i="3"/>
  <c r="G244" i="3"/>
  <c r="H244" i="3"/>
  <c r="I244" i="3"/>
  <c r="F244" i="3"/>
  <c r="F243" i="3"/>
  <c r="J243" i="3" s="1"/>
  <c r="G150" i="3"/>
  <c r="G149" i="3" s="1"/>
  <c r="H150" i="3"/>
  <c r="H149" i="3" s="1"/>
  <c r="I150" i="3"/>
  <c r="I149" i="3" s="1"/>
  <c r="G113" i="3"/>
  <c r="H113" i="3"/>
  <c r="I113" i="3"/>
  <c r="J114" i="3"/>
  <c r="G110" i="3"/>
  <c r="H110" i="3"/>
  <c r="I110" i="3"/>
  <c r="J111" i="3"/>
  <c r="H69" i="3"/>
  <c r="H68" i="3" s="1"/>
  <c r="H67" i="3" s="1"/>
  <c r="I69" i="3"/>
  <c r="I68" i="3" s="1"/>
  <c r="I67" i="3" s="1"/>
  <c r="G45" i="3"/>
  <c r="G44" i="3" s="1"/>
  <c r="H45" i="3"/>
  <c r="H44" i="3" s="1"/>
  <c r="I45" i="3"/>
  <c r="I44" i="3" s="1"/>
  <c r="F46" i="3"/>
  <c r="F45" i="3" s="1"/>
  <c r="F44" i="3" s="1"/>
  <c r="J47" i="3"/>
  <c r="F148" i="3"/>
  <c r="F147" i="3" s="1"/>
  <c r="H154" i="3"/>
  <c r="G152" i="3"/>
  <c r="H152" i="3"/>
  <c r="I152" i="3"/>
  <c r="F152" i="3"/>
  <c r="F155" i="3"/>
  <c r="F154" i="3" s="1"/>
  <c r="I154" i="3"/>
  <c r="G154" i="3"/>
  <c r="E154" i="3"/>
  <c r="J153" i="3"/>
  <c r="F151" i="3"/>
  <c r="F150" i="3" s="1"/>
  <c r="F149" i="3" s="1"/>
  <c r="J70" i="3"/>
  <c r="J142" i="3"/>
  <c r="G141" i="3"/>
  <c r="G140" i="3" s="1"/>
  <c r="H141" i="3"/>
  <c r="H140" i="3" s="1"/>
  <c r="I141" i="3"/>
  <c r="I140" i="3" s="1"/>
  <c r="J138" i="3"/>
  <c r="G137" i="3"/>
  <c r="G136" i="3" s="1"/>
  <c r="H137" i="3"/>
  <c r="H136" i="3" s="1"/>
  <c r="J134" i="3"/>
  <c r="G133" i="3"/>
  <c r="G132" i="3" s="1"/>
  <c r="H133" i="3"/>
  <c r="H132" i="3" s="1"/>
  <c r="I133" i="3"/>
  <c r="I132" i="3" s="1"/>
  <c r="J115" i="3"/>
  <c r="J112" i="3"/>
  <c r="F110" i="3"/>
  <c r="G27" i="3"/>
  <c r="H27" i="3"/>
  <c r="J30" i="3"/>
  <c r="F29" i="3"/>
  <c r="J29" i="3" s="1"/>
  <c r="G187" i="3"/>
  <c r="H187" i="3"/>
  <c r="F190" i="3"/>
  <c r="G194" i="3"/>
  <c r="H194" i="3"/>
  <c r="I194" i="3"/>
  <c r="G199" i="3"/>
  <c r="H199" i="3"/>
  <c r="I199" i="3"/>
  <c r="G203" i="3"/>
  <c r="H203" i="3"/>
  <c r="I203" i="3"/>
  <c r="G205" i="3"/>
  <c r="H205" i="3"/>
  <c r="I205" i="3"/>
  <c r="G207" i="3"/>
  <c r="H207" i="3"/>
  <c r="I207" i="3"/>
  <c r="G210" i="3"/>
  <c r="G209" i="3" s="1"/>
  <c r="H210" i="3"/>
  <c r="H209" i="3" s="1"/>
  <c r="I210" i="3"/>
  <c r="I209" i="3" s="1"/>
  <c r="G213" i="3"/>
  <c r="H213" i="3"/>
  <c r="I213" i="3"/>
  <c r="G222" i="3"/>
  <c r="H222" i="3"/>
  <c r="F222" i="3"/>
  <c r="E222" i="3"/>
  <c r="E214" i="3" s="1"/>
  <c r="D222" i="3"/>
  <c r="D214" i="3" s="1"/>
  <c r="F213" i="3"/>
  <c r="E215" i="3"/>
  <c r="D215" i="3"/>
  <c r="J196" i="3"/>
  <c r="F195" i="3"/>
  <c r="F194" i="3" s="1"/>
  <c r="J179" i="3"/>
  <c r="J180" i="3"/>
  <c r="J181" i="3"/>
  <c r="H176" i="3"/>
  <c r="F176" i="3"/>
  <c r="D177" i="3"/>
  <c r="D178" i="3"/>
  <c r="D179" i="3"/>
  <c r="D180" i="3"/>
  <c r="J208" i="3"/>
  <c r="J206" i="3"/>
  <c r="J204" i="3"/>
  <c r="I201" i="3"/>
  <c r="H201" i="3"/>
  <c r="J202" i="3"/>
  <c r="H157" i="3"/>
  <c r="I157" i="3"/>
  <c r="G157" i="3"/>
  <c r="J158" i="3"/>
  <c r="G163" i="3"/>
  <c r="H163" i="3"/>
  <c r="I163" i="3"/>
  <c r="J165" i="3"/>
  <c r="F164" i="3"/>
  <c r="F163" i="3" s="1"/>
  <c r="J358" i="3"/>
  <c r="K357" i="3" s="1"/>
  <c r="K356" i="3" s="1"/>
  <c r="G357" i="3"/>
  <c r="G356" i="3" s="1"/>
  <c r="H357" i="3"/>
  <c r="H356" i="3" s="1"/>
  <c r="I357" i="3"/>
  <c r="I356" i="3" s="1"/>
  <c r="H36" i="3"/>
  <c r="G36" i="3"/>
  <c r="F35" i="3"/>
  <c r="F34" i="3" s="1"/>
  <c r="F33" i="3" s="1"/>
  <c r="J20" i="3"/>
  <c r="F19" i="3"/>
  <c r="J19" i="3" s="1"/>
  <c r="G304" i="3"/>
  <c r="G303" i="3" s="1"/>
  <c r="H304" i="3"/>
  <c r="H303" i="3" s="1"/>
  <c r="I304" i="3"/>
  <c r="I303" i="3" s="1"/>
  <c r="F51" i="3"/>
  <c r="G33" i="3"/>
  <c r="H33" i="3"/>
  <c r="G31" i="3"/>
  <c r="H31" i="3"/>
  <c r="G22" i="3"/>
  <c r="H22" i="3"/>
  <c r="H14" i="3"/>
  <c r="H13" i="3" s="1"/>
  <c r="I14" i="3"/>
  <c r="I13" i="3" s="1"/>
  <c r="G14" i="3"/>
  <c r="G13" i="3" s="1"/>
  <c r="J258" i="3"/>
  <c r="I363" i="3"/>
  <c r="I361" i="3"/>
  <c r="I354" i="3"/>
  <c r="I353" i="3" s="1"/>
  <c r="I351" i="3"/>
  <c r="I349" i="3"/>
  <c r="I348" i="3" s="1"/>
  <c r="I346" i="3"/>
  <c r="I345" i="3" s="1"/>
  <c r="I343" i="3"/>
  <c r="I342" i="3" s="1"/>
  <c r="I335" i="3"/>
  <c r="I334" i="3" s="1"/>
  <c r="I331" i="3"/>
  <c r="I330" i="3" s="1"/>
  <c r="I325" i="3"/>
  <c r="I324" i="3" s="1"/>
  <c r="I321" i="3"/>
  <c r="I319" i="3"/>
  <c r="I315" i="3"/>
  <c r="I314" i="3" s="1"/>
  <c r="I310" i="3"/>
  <c r="I309" i="3" s="1"/>
  <c r="I306" i="3"/>
  <c r="I300" i="3"/>
  <c r="I298" i="3"/>
  <c r="I294" i="3"/>
  <c r="I292" i="3"/>
  <c r="I282" i="3"/>
  <c r="I280" i="3"/>
  <c r="I278" i="3"/>
  <c r="I276" i="3"/>
  <c r="I274" i="3"/>
  <c r="I270" i="3"/>
  <c r="I266" i="3"/>
  <c r="I264" i="3"/>
  <c r="I262" i="3"/>
  <c r="I260" i="3"/>
  <c r="I258" i="3"/>
  <c r="I256" i="3"/>
  <c r="I254" i="3"/>
  <c r="I252" i="3"/>
  <c r="I250" i="3"/>
  <c r="I248" i="3"/>
  <c r="I237" i="3"/>
  <c r="I236" i="3" s="1"/>
  <c r="I182" i="3"/>
  <c r="I170" i="3"/>
  <c r="I168" i="3"/>
  <c r="I166" i="3"/>
  <c r="I160" i="3"/>
  <c r="I159" i="3" s="1"/>
  <c r="I147" i="3"/>
  <c r="I145" i="3"/>
  <c r="I144" i="3" s="1"/>
  <c r="I129" i="3"/>
  <c r="I127" i="3"/>
  <c r="I123" i="3"/>
  <c r="I122" i="3" s="1"/>
  <c r="I119" i="3"/>
  <c r="I116" i="3"/>
  <c r="I106" i="3"/>
  <c r="I104" i="3"/>
  <c r="I103" i="3" s="1"/>
  <c r="I99" i="3"/>
  <c r="I97" i="3"/>
  <c r="I93" i="3"/>
  <c r="I91" i="3"/>
  <c r="I89" i="3"/>
  <c r="I87" i="3"/>
  <c r="I82" i="3"/>
  <c r="I81" i="3" s="1"/>
  <c r="I78" i="3"/>
  <c r="I77" i="3" s="1"/>
  <c r="I74" i="3"/>
  <c r="I73" i="3" s="1"/>
  <c r="I65" i="3"/>
  <c r="I63" i="3"/>
  <c r="I61" i="3"/>
  <c r="I56" i="3"/>
  <c r="I52" i="3"/>
  <c r="I40" i="3"/>
  <c r="I39" i="3" s="1"/>
  <c r="H368" i="3"/>
  <c r="H366" i="3"/>
  <c r="H363" i="3"/>
  <c r="H361" i="3"/>
  <c r="H354" i="3"/>
  <c r="H353" i="3" s="1"/>
  <c r="H351" i="3"/>
  <c r="H349" i="3"/>
  <c r="H348" i="3" s="1"/>
  <c r="H346" i="3"/>
  <c r="H345" i="3" s="1"/>
  <c r="H343" i="3"/>
  <c r="H342" i="3" s="1"/>
  <c r="H339" i="3"/>
  <c r="H338" i="3" s="1"/>
  <c r="H335" i="3"/>
  <c r="H334" i="3" s="1"/>
  <c r="H331" i="3"/>
  <c r="H330" i="3" s="1"/>
  <c r="H325" i="3"/>
  <c r="H324" i="3" s="1"/>
  <c r="H321" i="3"/>
  <c r="H319" i="3"/>
  <c r="H315" i="3"/>
  <c r="H314" i="3" s="1"/>
  <c r="H310" i="3"/>
  <c r="H309" i="3" s="1"/>
  <c r="H306" i="3"/>
  <c r="H298" i="3"/>
  <c r="H294" i="3"/>
  <c r="H292" i="3"/>
  <c r="H282" i="3"/>
  <c r="H280" i="3"/>
  <c r="H278" i="3"/>
  <c r="H276" i="3"/>
  <c r="H274" i="3"/>
  <c r="H270" i="3"/>
  <c r="H266" i="3"/>
  <c r="H264" i="3"/>
  <c r="H262" i="3"/>
  <c r="H260" i="3"/>
  <c r="H258" i="3"/>
  <c r="H256" i="3"/>
  <c r="H254" i="3"/>
  <c r="H252" i="3"/>
  <c r="H250" i="3"/>
  <c r="H248" i="3"/>
  <c r="H237" i="3"/>
  <c r="H236" i="3" s="1"/>
  <c r="H182" i="3"/>
  <c r="H170" i="3"/>
  <c r="H168" i="3"/>
  <c r="H166" i="3"/>
  <c r="H160" i="3"/>
  <c r="H159" i="3" s="1"/>
  <c r="H147" i="3"/>
  <c r="H145" i="3"/>
  <c r="H144" i="3" s="1"/>
  <c r="H129" i="3"/>
  <c r="H127" i="3"/>
  <c r="H123" i="3"/>
  <c r="H122" i="3" s="1"/>
  <c r="H119" i="3"/>
  <c r="H116" i="3"/>
  <c r="H106" i="3"/>
  <c r="H104" i="3"/>
  <c r="H103" i="3" s="1"/>
  <c r="H99" i="3"/>
  <c r="H97" i="3"/>
  <c r="H93" i="3"/>
  <c r="H91" i="3"/>
  <c r="H89" i="3"/>
  <c r="H87" i="3"/>
  <c r="H82" i="3"/>
  <c r="H81" i="3" s="1"/>
  <c r="H78" i="3"/>
  <c r="H77" i="3" s="1"/>
  <c r="H74" i="3"/>
  <c r="H73" i="3" s="1"/>
  <c r="H65" i="3"/>
  <c r="H63" i="3"/>
  <c r="H61" i="3"/>
  <c r="H58" i="3"/>
  <c r="H56" i="3"/>
  <c r="H52" i="3"/>
  <c r="H49" i="3" s="1"/>
  <c r="H48" i="3" s="1"/>
  <c r="H40" i="3"/>
  <c r="H39" i="3" s="1"/>
  <c r="G366" i="3"/>
  <c r="G363" i="3"/>
  <c r="G361" i="3"/>
  <c r="G354" i="3"/>
  <c r="G353" i="3" s="1"/>
  <c r="G351" i="3"/>
  <c r="G349" i="3"/>
  <c r="G348" i="3" s="1"/>
  <c r="G346" i="3"/>
  <c r="G345" i="3" s="1"/>
  <c r="G343" i="3"/>
  <c r="G342" i="3" s="1"/>
  <c r="G339" i="3"/>
  <c r="G338" i="3" s="1"/>
  <c r="G335" i="3"/>
  <c r="G334" i="3" s="1"/>
  <c r="G331" i="3"/>
  <c r="G330" i="3" s="1"/>
  <c r="G325" i="3"/>
  <c r="G324" i="3" s="1"/>
  <c r="G321" i="3"/>
  <c r="G319" i="3"/>
  <c r="G315" i="3"/>
  <c r="G314" i="3" s="1"/>
  <c r="G310" i="3"/>
  <c r="G309" i="3" s="1"/>
  <c r="G306" i="3"/>
  <c r="G300" i="3"/>
  <c r="G298" i="3"/>
  <c r="G294" i="3"/>
  <c r="G292" i="3"/>
  <c r="G282" i="3"/>
  <c r="G280" i="3"/>
  <c r="G278" i="3"/>
  <c r="G276" i="3"/>
  <c r="G274" i="3"/>
  <c r="G270" i="3"/>
  <c r="G266" i="3"/>
  <c r="G264" i="3"/>
  <c r="G262" i="3"/>
  <c r="G260" i="3"/>
  <c r="G258" i="3"/>
  <c r="G256" i="3"/>
  <c r="G254" i="3"/>
  <c r="G252" i="3"/>
  <c r="G250" i="3"/>
  <c r="G248" i="3"/>
  <c r="G237" i="3"/>
  <c r="G236" i="3" s="1"/>
  <c r="G182" i="3"/>
  <c r="G170" i="3"/>
  <c r="G168" i="3"/>
  <c r="G166" i="3"/>
  <c r="G160" i="3"/>
  <c r="G159" i="3" s="1"/>
  <c r="G147" i="3"/>
  <c r="G145" i="3"/>
  <c r="G144" i="3" s="1"/>
  <c r="G129" i="3"/>
  <c r="G127" i="3"/>
  <c r="G123" i="3"/>
  <c r="G121" i="3" s="1"/>
  <c r="G119" i="3"/>
  <c r="G116" i="3"/>
  <c r="G106" i="3"/>
  <c r="G104" i="3"/>
  <c r="G103" i="3" s="1"/>
  <c r="G99" i="3"/>
  <c r="G97" i="3"/>
  <c r="G93" i="3"/>
  <c r="G91" i="3"/>
  <c r="G89" i="3"/>
  <c r="G87" i="3"/>
  <c r="G82" i="3"/>
  <c r="G81" i="3" s="1"/>
  <c r="G78" i="3"/>
  <c r="G77" i="3" s="1"/>
  <c r="G74" i="3"/>
  <c r="G73" i="3" s="1"/>
  <c r="G65" i="3"/>
  <c r="G63" i="3"/>
  <c r="G61" i="3"/>
  <c r="G58" i="3"/>
  <c r="G56" i="3"/>
  <c r="G52" i="3"/>
  <c r="G49" i="3" s="1"/>
  <c r="G48" i="3" s="1"/>
  <c r="G40" i="3"/>
  <c r="G39" i="3" s="1"/>
  <c r="F364" i="3"/>
  <c r="J364" i="3" s="1"/>
  <c r="K363" i="3" s="1"/>
  <c r="F259" i="3"/>
  <c r="F258" i="3" s="1"/>
  <c r="F249" i="3"/>
  <c r="F248" i="3" s="1"/>
  <c r="F283" i="3"/>
  <c r="F282" i="3" s="1"/>
  <c r="F279" i="3"/>
  <c r="F278" i="3" s="1"/>
  <c r="F263" i="3"/>
  <c r="F262" i="3" s="1"/>
  <c r="F261" i="3"/>
  <c r="F260" i="3" s="1"/>
  <c r="F275" i="3"/>
  <c r="F274" i="3" s="1"/>
  <c r="F203" i="3"/>
  <c r="F207" i="3"/>
  <c r="F200" i="3"/>
  <c r="F205" i="3"/>
  <c r="F170" i="3"/>
  <c r="F299" i="3"/>
  <c r="F298" i="3" s="1"/>
  <c r="F130" i="3"/>
  <c r="F129" i="3" s="1"/>
  <c r="E199" i="3"/>
  <c r="F169" i="3"/>
  <c r="F168" i="3" s="1"/>
  <c r="E168" i="3"/>
  <c r="F212" i="3"/>
  <c r="F210" i="3" s="1"/>
  <c r="F209" i="3" s="1"/>
  <c r="F161" i="3"/>
  <c r="J161" i="3" s="1"/>
  <c r="F167" i="3"/>
  <c r="F166" i="3" s="1"/>
  <c r="D181" i="3"/>
  <c r="F182" i="3"/>
  <c r="F188" i="3"/>
  <c r="J188" i="3" s="1"/>
  <c r="J187" i="3" s="1"/>
  <c r="E194" i="3"/>
  <c r="E210" i="3"/>
  <c r="E160" i="3"/>
  <c r="E159" i="3" s="1"/>
  <c r="E163" i="3"/>
  <c r="E166" i="3"/>
  <c r="E176" i="3"/>
  <c r="E182" i="3"/>
  <c r="E187" i="3"/>
  <c r="E213" i="3"/>
  <c r="E368" i="3"/>
  <c r="E361" i="3"/>
  <c r="E363" i="3"/>
  <c r="E366" i="3"/>
  <c r="D369" i="3"/>
  <c r="F369" i="3" s="1"/>
  <c r="F368" i="3" s="1"/>
  <c r="F362" i="3"/>
  <c r="F361" i="3" s="1"/>
  <c r="F367" i="3"/>
  <c r="F366" i="3" s="1"/>
  <c r="D237" i="3"/>
  <c r="D236" i="3" s="1"/>
  <c r="D240" i="3"/>
  <c r="D239" i="3" s="1"/>
  <c r="D248" i="3"/>
  <c r="D250" i="3"/>
  <c r="D252" i="3"/>
  <c r="D254" i="3"/>
  <c r="D256" i="3"/>
  <c r="D258" i="3"/>
  <c r="D260" i="3"/>
  <c r="D262" i="3"/>
  <c r="D264" i="3"/>
  <c r="D266" i="3"/>
  <c r="D270" i="3"/>
  <c r="D274" i="3"/>
  <c r="D276" i="3"/>
  <c r="D278" i="3"/>
  <c r="D280" i="3"/>
  <c r="D282" i="3"/>
  <c r="D294" i="3"/>
  <c r="D300" i="3"/>
  <c r="D298" i="3"/>
  <c r="E237" i="3"/>
  <c r="E236" i="3" s="1"/>
  <c r="E240" i="3"/>
  <c r="E239" i="3" s="1"/>
  <c r="E300" i="3"/>
  <c r="E298" i="3"/>
  <c r="E292" i="3"/>
  <c r="E294" i="3"/>
  <c r="F238" i="3"/>
  <c r="F237" i="3" s="1"/>
  <c r="F236" i="3" s="1"/>
  <c r="F251" i="3"/>
  <c r="F250" i="3" s="1"/>
  <c r="F253" i="3"/>
  <c r="F252" i="3" s="1"/>
  <c r="F255" i="3"/>
  <c r="F254" i="3" s="1"/>
  <c r="F257" i="3"/>
  <c r="F256" i="3" s="1"/>
  <c r="F265" i="3"/>
  <c r="F264" i="3" s="1"/>
  <c r="F267" i="3"/>
  <c r="F266" i="3" s="1"/>
  <c r="F271" i="3"/>
  <c r="F270" i="3" s="1"/>
  <c r="F277" i="3"/>
  <c r="F276" i="3" s="1"/>
  <c r="F280" i="3"/>
  <c r="F241" i="3"/>
  <c r="J241" i="3" s="1"/>
  <c r="F242" i="3"/>
  <c r="J242" i="3" s="1"/>
  <c r="F301" i="3"/>
  <c r="F300" i="3" s="1"/>
  <c r="F293" i="3"/>
  <c r="F292" i="3" s="1"/>
  <c r="F295" i="3"/>
  <c r="F294" i="3" s="1"/>
  <c r="D22" i="3"/>
  <c r="D27" i="3"/>
  <c r="D31" i="3"/>
  <c r="F359" i="3"/>
  <c r="J359" i="3" s="1"/>
  <c r="F355" i="3"/>
  <c r="F354" i="3" s="1"/>
  <c r="F353" i="3" s="1"/>
  <c r="F352" i="3"/>
  <c r="F351" i="3" s="1"/>
  <c r="F350" i="3"/>
  <c r="F349" i="3" s="1"/>
  <c r="F348" i="3" s="1"/>
  <c r="F347" i="3"/>
  <c r="F344" i="3"/>
  <c r="J344" i="3" s="1"/>
  <c r="F340" i="3"/>
  <c r="F337" i="3"/>
  <c r="J337" i="3" s="1"/>
  <c r="F336" i="3"/>
  <c r="J336" i="3" s="1"/>
  <c r="K335" i="3" s="1"/>
  <c r="K334" i="3" s="1"/>
  <c r="F332" i="3"/>
  <c r="F331" i="3" s="1"/>
  <c r="F330" i="3" s="1"/>
  <c r="F327" i="3"/>
  <c r="J327" i="3" s="1"/>
  <c r="F329" i="3"/>
  <c r="J329" i="3" s="1"/>
  <c r="F326" i="3"/>
  <c r="J326" i="3" s="1"/>
  <c r="F322" i="3"/>
  <c r="F321" i="3" s="1"/>
  <c r="F320" i="3"/>
  <c r="F319" i="3" s="1"/>
  <c r="F317" i="3"/>
  <c r="J317" i="3" s="1"/>
  <c r="F316" i="3"/>
  <c r="J316" i="3" s="1"/>
  <c r="K315" i="3" s="1"/>
  <c r="K314" i="3" s="1"/>
  <c r="F312" i="3"/>
  <c r="J312" i="3" s="1"/>
  <c r="K310" i="3" s="1"/>
  <c r="K309" i="3" s="1"/>
  <c r="F311" i="3"/>
  <c r="J311" i="3" s="1"/>
  <c r="F313" i="3"/>
  <c r="J313" i="3" s="1"/>
  <c r="F305" i="3"/>
  <c r="F304" i="3" s="1"/>
  <c r="F303" i="3" s="1"/>
  <c r="F308" i="3"/>
  <c r="F307" i="3"/>
  <c r="J307" i="3" s="1"/>
  <c r="D304" i="3"/>
  <c r="D303" i="3" s="1"/>
  <c r="F146" i="3"/>
  <c r="F145" i="3" s="1"/>
  <c r="F144" i="3" s="1"/>
  <c r="F143" i="3"/>
  <c r="F141" i="3" s="1"/>
  <c r="F139" i="3"/>
  <c r="F137" i="3" s="1"/>
  <c r="F135" i="3"/>
  <c r="J135" i="3" s="1"/>
  <c r="F128" i="3"/>
  <c r="F124" i="3"/>
  <c r="F123" i="3" s="1"/>
  <c r="F120" i="3"/>
  <c r="F119" i="3" s="1"/>
  <c r="F118" i="3"/>
  <c r="F116" i="3" s="1"/>
  <c r="F107" i="3"/>
  <c r="F106" i="3" s="1"/>
  <c r="F105" i="3"/>
  <c r="F104" i="3" s="1"/>
  <c r="F103" i="3" s="1"/>
  <c r="E97" i="3"/>
  <c r="F101" i="3"/>
  <c r="F99" i="3" s="1"/>
  <c r="F98" i="3"/>
  <c r="F97" i="3" s="1"/>
  <c r="F94" i="3"/>
  <c r="F93" i="3" s="1"/>
  <c r="F92" i="3"/>
  <c r="F91" i="3" s="1"/>
  <c r="D90" i="3"/>
  <c r="F90" i="3" s="1"/>
  <c r="F89" i="3" s="1"/>
  <c r="F88" i="3"/>
  <c r="F87" i="3" s="1"/>
  <c r="F84" i="3"/>
  <c r="J84" i="3" s="1"/>
  <c r="F83" i="3"/>
  <c r="J83" i="3" s="1"/>
  <c r="F80" i="3"/>
  <c r="J80" i="3" s="1"/>
  <c r="F79" i="3"/>
  <c r="J79" i="3" s="1"/>
  <c r="F76" i="3"/>
  <c r="J76" i="3" s="1"/>
  <c r="F75" i="3"/>
  <c r="J75" i="3" s="1"/>
  <c r="F71" i="3"/>
  <c r="J71" i="3" s="1"/>
  <c r="F66" i="3"/>
  <c r="F65" i="3" s="1"/>
  <c r="F64" i="3"/>
  <c r="F63" i="3" s="1"/>
  <c r="F62" i="3"/>
  <c r="F61" i="3" s="1"/>
  <c r="F60" i="3"/>
  <c r="F58" i="3" s="1"/>
  <c r="F57" i="3"/>
  <c r="F56" i="3" s="1"/>
  <c r="F53" i="3"/>
  <c r="F52" i="3" s="1"/>
  <c r="F42" i="3"/>
  <c r="J42" i="3" s="1"/>
  <c r="F43" i="3"/>
  <c r="J43" i="3" s="1"/>
  <c r="F41" i="3"/>
  <c r="J41" i="3" s="1"/>
  <c r="F32" i="3"/>
  <c r="F31" i="3" s="1"/>
  <c r="F28" i="3"/>
  <c r="J28" i="3" s="1"/>
  <c r="K27" i="3" s="1"/>
  <c r="F24" i="3"/>
  <c r="F25" i="3"/>
  <c r="J25" i="3" s="1"/>
  <c r="F23" i="3"/>
  <c r="F18" i="3"/>
  <c r="F15" i="3"/>
  <c r="J15" i="3" s="1"/>
  <c r="E14" i="3"/>
  <c r="E13" i="3" s="1"/>
  <c r="E357" i="3"/>
  <c r="E356" i="3" s="1"/>
  <c r="E354" i="3"/>
  <c r="E353" i="3" s="1"/>
  <c r="E351" i="3"/>
  <c r="E349" i="3"/>
  <c r="E348" i="3" s="1"/>
  <c r="E346" i="3"/>
  <c r="E345" i="3" s="1"/>
  <c r="E343" i="3"/>
  <c r="E342" i="3" s="1"/>
  <c r="E339" i="3"/>
  <c r="E338" i="3" s="1"/>
  <c r="E335" i="3"/>
  <c r="E334" i="3" s="1"/>
  <c r="E331" i="3"/>
  <c r="E330" i="3" s="1"/>
  <c r="E325" i="3"/>
  <c r="E324" i="3" s="1"/>
  <c r="E321" i="3"/>
  <c r="E319" i="3"/>
  <c r="E315" i="3"/>
  <c r="E314" i="3" s="1"/>
  <c r="E310" i="3"/>
  <c r="E309" i="3" s="1"/>
  <c r="E306" i="3"/>
  <c r="E303" i="3"/>
  <c r="E150" i="3"/>
  <c r="E149" i="3" s="1"/>
  <c r="E147" i="3"/>
  <c r="E145" i="3"/>
  <c r="E144" i="3" s="1"/>
  <c r="E141" i="3"/>
  <c r="E140" i="3" s="1"/>
  <c r="E137" i="3"/>
  <c r="E136" i="3" s="1"/>
  <c r="E133" i="3"/>
  <c r="E132" i="3" s="1"/>
  <c r="E129" i="3"/>
  <c r="E127" i="3"/>
  <c r="E123" i="3"/>
  <c r="E121" i="3" s="1"/>
  <c r="E119" i="3"/>
  <c r="E116" i="3"/>
  <c r="E113" i="3"/>
  <c r="E110" i="3"/>
  <c r="E106" i="3"/>
  <c r="E104" i="3"/>
  <c r="E103" i="3" s="1"/>
  <c r="E99" i="3"/>
  <c r="E93" i="3"/>
  <c r="E91" i="3"/>
  <c r="E89" i="3"/>
  <c r="E87" i="3"/>
  <c r="E82" i="3"/>
  <c r="E81" i="3" s="1"/>
  <c r="E78" i="3"/>
  <c r="E77" i="3" s="1"/>
  <c r="E74" i="3"/>
  <c r="E73" i="3" s="1"/>
  <c r="E69" i="3"/>
  <c r="E68" i="3" s="1"/>
  <c r="E67" i="3" s="1"/>
  <c r="E65" i="3"/>
  <c r="E63" i="3"/>
  <c r="E61" i="3"/>
  <c r="E58" i="3"/>
  <c r="E56" i="3"/>
  <c r="E52" i="3"/>
  <c r="E49" i="3" s="1"/>
  <c r="E48" i="3" s="1"/>
  <c r="E45" i="3"/>
  <c r="E44" i="3" s="1"/>
  <c r="E40" i="3"/>
  <c r="E39" i="3" s="1"/>
  <c r="E34" i="3"/>
  <c r="E33" i="3" s="1"/>
  <c r="E31" i="3"/>
  <c r="E27" i="3"/>
  <c r="E22" i="3"/>
  <c r="E17" i="3"/>
  <c r="E16" i="3" s="1"/>
  <c r="D325" i="3"/>
  <c r="D324" i="3" s="1"/>
  <c r="D331" i="3"/>
  <c r="D330" i="3" s="1"/>
  <c r="D213" i="3"/>
  <c r="D210" i="3"/>
  <c r="D335" i="3"/>
  <c r="D334" i="3" s="1"/>
  <c r="D339" i="3"/>
  <c r="D338" i="3" s="1"/>
  <c r="D361" i="3"/>
  <c r="D363" i="3"/>
  <c r="D366" i="3"/>
  <c r="D129" i="3"/>
  <c r="D147" i="3"/>
  <c r="D65" i="3"/>
  <c r="D63" i="3"/>
  <c r="D52" i="3"/>
  <c r="D49" i="3" s="1"/>
  <c r="D48" i="3" s="1"/>
  <c r="D40" i="3"/>
  <c r="D39" i="3" s="1"/>
  <c r="D45" i="3"/>
  <c r="D44" i="3" s="1"/>
  <c r="D56" i="3"/>
  <c r="D58" i="3"/>
  <c r="D61" i="3"/>
  <c r="D69" i="3"/>
  <c r="D68" i="3" s="1"/>
  <c r="D67" i="3" s="1"/>
  <c r="D306" i="3"/>
  <c r="D310" i="3"/>
  <c r="D309" i="3" s="1"/>
  <c r="D315" i="3"/>
  <c r="D314" i="3" s="1"/>
  <c r="D319" i="3"/>
  <c r="D321" i="3"/>
  <c r="D166" i="3"/>
  <c r="D194" i="3"/>
  <c r="D160" i="3"/>
  <c r="D159" i="3" s="1"/>
  <c r="D14" i="3"/>
  <c r="D13" i="3" s="1"/>
  <c r="D17" i="3"/>
  <c r="D16" i="3" s="1"/>
  <c r="D34" i="3"/>
  <c r="D33" i="3" s="1"/>
  <c r="D93" i="3"/>
  <c r="D74" i="3"/>
  <c r="D73" i="3" s="1"/>
  <c r="D78" i="3"/>
  <c r="D77" i="3" s="1"/>
  <c r="D97" i="3"/>
  <c r="D99" i="3"/>
  <c r="D104" i="3"/>
  <c r="D103" i="3" s="1"/>
  <c r="D106" i="3"/>
  <c r="D110" i="3"/>
  <c r="D113" i="3"/>
  <c r="D116" i="3"/>
  <c r="D119" i="3"/>
  <c r="D87" i="3"/>
  <c r="D91" i="3"/>
  <c r="D82" i="3"/>
  <c r="D81" i="3" s="1"/>
  <c r="D123" i="3"/>
  <c r="D122" i="3" s="1"/>
  <c r="D127" i="3"/>
  <c r="D133" i="3"/>
  <c r="D132" i="3" s="1"/>
  <c r="D141" i="3"/>
  <c r="D140" i="3" s="1"/>
  <c r="D145" i="3"/>
  <c r="D144" i="3" s="1"/>
  <c r="D150" i="3"/>
  <c r="D149" i="3" s="1"/>
  <c r="D163" i="3"/>
  <c r="D182" i="3"/>
  <c r="D187" i="3"/>
  <c r="D346" i="3"/>
  <c r="D345" i="3" s="1"/>
  <c r="D354" i="3"/>
  <c r="D353" i="3" s="1"/>
  <c r="D343" i="3"/>
  <c r="D342" i="3" s="1"/>
  <c r="D349" i="3"/>
  <c r="D348" i="3" s="1"/>
  <c r="D357" i="3"/>
  <c r="D356" i="3" s="1"/>
  <c r="D351" i="3"/>
  <c r="D137" i="3"/>
  <c r="D136" i="3" s="1"/>
  <c r="H300" i="3"/>
  <c r="J325" i="3" l="1"/>
  <c r="J324" i="3" s="1"/>
  <c r="K68" i="3"/>
  <c r="K67" i="3" s="1"/>
  <c r="J69" i="3"/>
  <c r="J68" i="3" s="1"/>
  <c r="J67" i="3" s="1"/>
  <c r="J340" i="3"/>
  <c r="K339" i="3" s="1"/>
  <c r="K338" i="3" s="1"/>
  <c r="K333" i="3" s="1"/>
  <c r="J268" i="3"/>
  <c r="K268" i="3"/>
  <c r="J199" i="3"/>
  <c r="K199" i="3"/>
  <c r="J343" i="3"/>
  <c r="J342" i="3" s="1"/>
  <c r="K343" i="3"/>
  <c r="K342" i="3" s="1"/>
  <c r="J203" i="3"/>
  <c r="K203" i="3"/>
  <c r="J222" i="3"/>
  <c r="J201" i="3"/>
  <c r="K201" i="3"/>
  <c r="J280" i="3"/>
  <c r="K280" i="3"/>
  <c r="K73" i="3"/>
  <c r="K40" i="3"/>
  <c r="K39" i="3" s="1"/>
  <c r="K240" i="3"/>
  <c r="K239" i="3" s="1"/>
  <c r="J207" i="3"/>
  <c r="K207" i="3"/>
  <c r="J160" i="3"/>
  <c r="J159" i="3" s="1"/>
  <c r="K160" i="3"/>
  <c r="K159" i="3" s="1"/>
  <c r="J157" i="3"/>
  <c r="K157" i="3"/>
  <c r="J205" i="3"/>
  <c r="K205" i="3"/>
  <c r="J182" i="3"/>
  <c r="K182" i="3"/>
  <c r="K133" i="3"/>
  <c r="K132" i="3" s="1"/>
  <c r="K324" i="3"/>
  <c r="J152" i="3"/>
  <c r="K152" i="3"/>
  <c r="J225" i="3"/>
  <c r="K225" i="3"/>
  <c r="J14" i="3"/>
  <c r="J13" i="3" s="1"/>
  <c r="K14" i="3"/>
  <c r="K13" i="3" s="1"/>
  <c r="J244" i="3"/>
  <c r="K244" i="3"/>
  <c r="J36" i="3"/>
  <c r="K36" i="3"/>
  <c r="K82" i="3"/>
  <c r="K81" i="3" s="1"/>
  <c r="K77" i="3"/>
  <c r="J322" i="3"/>
  <c r="J255" i="3"/>
  <c r="K254" i="3" s="1"/>
  <c r="F127" i="3"/>
  <c r="F126" i="3" s="1"/>
  <c r="F125" i="3" s="1"/>
  <c r="J128" i="3"/>
  <c r="J299" i="3"/>
  <c r="J369" i="3"/>
  <c r="K368" i="3" s="1"/>
  <c r="F346" i="3"/>
  <c r="F345" i="3" s="1"/>
  <c r="J347" i="3"/>
  <c r="K346" i="3" s="1"/>
  <c r="K345" i="3" s="1"/>
  <c r="J238" i="3"/>
  <c r="J267" i="3"/>
  <c r="J253" i="3"/>
  <c r="J251" i="3"/>
  <c r="J275" i="3"/>
  <c r="J265" i="3"/>
  <c r="K264" i="3" s="1"/>
  <c r="J261" i="3"/>
  <c r="J195" i="3"/>
  <c r="K194" i="3" s="1"/>
  <c r="J263" i="3"/>
  <c r="J271" i="3"/>
  <c r="J130" i="3"/>
  <c r="J257" i="3"/>
  <c r="J283" i="3"/>
  <c r="J113" i="3"/>
  <c r="I22" i="3"/>
  <c r="J148" i="3"/>
  <c r="J177" i="3"/>
  <c r="J46" i="3"/>
  <c r="J143" i="3"/>
  <c r="J141" i="3" s="1"/>
  <c r="J155" i="3"/>
  <c r="J151" i="3"/>
  <c r="F113" i="3"/>
  <c r="F109" i="3" s="1"/>
  <c r="F108" i="3" s="1"/>
  <c r="F240" i="3"/>
  <c r="F239" i="3" s="1"/>
  <c r="F27" i="3"/>
  <c r="F26" i="3" s="1"/>
  <c r="E323" i="3"/>
  <c r="J51" i="3"/>
  <c r="J49" i="3" s="1"/>
  <c r="J146" i="3"/>
  <c r="J305" i="3"/>
  <c r="J362" i="3"/>
  <c r="G247" i="3"/>
  <c r="G246" i="3" s="1"/>
  <c r="J240" i="3"/>
  <c r="J239" i="3" s="1"/>
  <c r="J249" i="3"/>
  <c r="J332" i="3"/>
  <c r="J60" i="3"/>
  <c r="J58" i="3" s="1"/>
  <c r="J367" i="3"/>
  <c r="J363" i="3"/>
  <c r="J293" i="3"/>
  <c r="F247" i="3"/>
  <c r="F246" i="3" s="1"/>
  <c r="I247" i="3"/>
  <c r="I246" i="3" s="1"/>
  <c r="I297" i="3"/>
  <c r="I296" i="3" s="1"/>
  <c r="J295" i="3"/>
  <c r="I187" i="3"/>
  <c r="I176" i="3"/>
  <c r="I36" i="3"/>
  <c r="I222" i="3"/>
  <c r="I366" i="3"/>
  <c r="I365" i="3" s="1"/>
  <c r="I360" i="3" s="1"/>
  <c r="J24" i="3"/>
  <c r="J23" i="3"/>
  <c r="J139" i="3"/>
  <c r="J40" i="3"/>
  <c r="J39" i="3" s="1"/>
  <c r="J57" i="3"/>
  <c r="J124" i="3"/>
  <c r="F69" i="3"/>
  <c r="F68" i="3" s="1"/>
  <c r="F67" i="3" s="1"/>
  <c r="J279" i="3"/>
  <c r="J64" i="3"/>
  <c r="H131" i="3"/>
  <c r="J277" i="3"/>
  <c r="J62" i="3"/>
  <c r="J301" i="3"/>
  <c r="J53" i="3"/>
  <c r="F133" i="3"/>
  <c r="F132" i="3" s="1"/>
  <c r="I239" i="3"/>
  <c r="G239" i="3"/>
  <c r="H239" i="3"/>
  <c r="H247" i="3"/>
  <c r="H246" i="3" s="1"/>
  <c r="I131" i="3"/>
  <c r="G131" i="3"/>
  <c r="I49" i="3"/>
  <c r="I48" i="3" s="1"/>
  <c r="G55" i="3"/>
  <c r="G54" i="3" s="1"/>
  <c r="G38" i="3" s="1"/>
  <c r="I109" i="3"/>
  <c r="I108" i="3" s="1"/>
  <c r="J120" i="3"/>
  <c r="J101" i="3"/>
  <c r="J27" i="3"/>
  <c r="H193" i="3"/>
  <c r="H192" i="3" s="1"/>
  <c r="J107" i="3"/>
  <c r="J66" i="3"/>
  <c r="J105" i="3"/>
  <c r="J92" i="3"/>
  <c r="J90" i="3"/>
  <c r="F187" i="3"/>
  <c r="F162" i="3" s="1"/>
  <c r="F140" i="3"/>
  <c r="F136" i="3"/>
  <c r="J133" i="3"/>
  <c r="J132" i="3" s="1"/>
  <c r="E109" i="3"/>
  <c r="E108" i="3" s="1"/>
  <c r="E297" i="3"/>
  <c r="E296" i="3" s="1"/>
  <c r="E235" i="3" s="1"/>
  <c r="G193" i="3"/>
  <c r="G192" i="3" s="1"/>
  <c r="J88" i="3"/>
  <c r="J167" i="3"/>
  <c r="J98" i="3"/>
  <c r="I193" i="3"/>
  <c r="I192" i="3" s="1"/>
  <c r="D333" i="3"/>
  <c r="D297" i="3"/>
  <c r="D296" i="3" s="1"/>
  <c r="J320" i="3"/>
  <c r="J32" i="3"/>
  <c r="E318" i="3"/>
  <c r="E302" i="3" s="1"/>
  <c r="J94" i="3"/>
  <c r="H109" i="3"/>
  <c r="H108" i="3" s="1"/>
  <c r="G162" i="3"/>
  <c r="H162" i="3"/>
  <c r="F318" i="3"/>
  <c r="E26" i="3"/>
  <c r="E21" i="3" s="1"/>
  <c r="E12" i="3" s="1"/>
  <c r="F315" i="3"/>
  <c r="F314" i="3" s="1"/>
  <c r="J164" i="3"/>
  <c r="J169" i="3"/>
  <c r="J74" i="3"/>
  <c r="J73" i="3" s="1"/>
  <c r="G26" i="3"/>
  <c r="G21" i="3" s="1"/>
  <c r="G12" i="3" s="1"/>
  <c r="D102" i="3"/>
  <c r="F22" i="3"/>
  <c r="G96" i="3"/>
  <c r="G95" i="3" s="1"/>
  <c r="D368" i="3"/>
  <c r="F17" i="3"/>
  <c r="F16" i="3" s="1"/>
  <c r="H126" i="3"/>
  <c r="H125" i="3" s="1"/>
  <c r="E86" i="3"/>
  <c r="E85" i="3" s="1"/>
  <c r="D318" i="3"/>
  <c r="D302" i="3" s="1"/>
  <c r="E365" i="3"/>
  <c r="E360" i="3" s="1"/>
  <c r="H96" i="3"/>
  <c r="H95" i="3" s="1"/>
  <c r="F102" i="3"/>
  <c r="F160" i="3"/>
  <c r="F159" i="3" s="1"/>
  <c r="J18" i="3"/>
  <c r="F82" i="3"/>
  <c r="F81" i="3" s="1"/>
  <c r="G297" i="3"/>
  <c r="G296" i="3" s="1"/>
  <c r="H26" i="3"/>
  <c r="H21" i="3" s="1"/>
  <c r="H12" i="3" s="1"/>
  <c r="D176" i="3"/>
  <c r="D162" i="3" s="1"/>
  <c r="H297" i="3"/>
  <c r="H296" i="3" s="1"/>
  <c r="F14" i="3"/>
  <c r="F13" i="3" s="1"/>
  <c r="E126" i="3"/>
  <c r="E125" i="3" s="1"/>
  <c r="F310" i="3"/>
  <c r="F309" i="3" s="1"/>
  <c r="I96" i="3"/>
  <c r="I95" i="3" s="1"/>
  <c r="J78" i="3"/>
  <c r="J77" i="3" s="1"/>
  <c r="D193" i="3"/>
  <c r="D26" i="3"/>
  <c r="D21" i="3" s="1"/>
  <c r="D12" i="3" s="1"/>
  <c r="D247" i="3"/>
  <c r="D246" i="3" s="1"/>
  <c r="F363" i="3"/>
  <c r="G365" i="3"/>
  <c r="G360" i="3" s="1"/>
  <c r="F86" i="3"/>
  <c r="F85" i="3" s="1"/>
  <c r="H341" i="3"/>
  <c r="D55" i="3"/>
  <c r="D54" i="3" s="1"/>
  <c r="D38" i="3" s="1"/>
  <c r="D126" i="3"/>
  <c r="D125" i="3" s="1"/>
  <c r="F343" i="3"/>
  <c r="F342" i="3" s="1"/>
  <c r="G323" i="3"/>
  <c r="H121" i="3"/>
  <c r="H333" i="3"/>
  <c r="I102" i="3"/>
  <c r="J310" i="3"/>
  <c r="J309" i="3" s="1"/>
  <c r="D121" i="3"/>
  <c r="D96" i="3"/>
  <c r="D95" i="3" s="1"/>
  <c r="E102" i="3"/>
  <c r="F306" i="3"/>
  <c r="I126" i="3"/>
  <c r="I125" i="3" s="1"/>
  <c r="I333" i="3"/>
  <c r="F365" i="3"/>
  <c r="F335" i="3"/>
  <c r="F334" i="3" s="1"/>
  <c r="F74" i="3"/>
  <c r="F73" i="3" s="1"/>
  <c r="G86" i="3"/>
  <c r="G85" i="3" s="1"/>
  <c r="G109" i="3"/>
  <c r="G108" i="3" s="1"/>
  <c r="G318" i="3"/>
  <c r="G302" i="3" s="1"/>
  <c r="H86" i="3"/>
  <c r="H85" i="3" s="1"/>
  <c r="I55" i="3"/>
  <c r="I54" i="3" s="1"/>
  <c r="I323" i="3"/>
  <c r="J315" i="3"/>
  <c r="J314" i="3" s="1"/>
  <c r="J335" i="3"/>
  <c r="J334" i="3" s="1"/>
  <c r="J352" i="3"/>
  <c r="F40" i="3"/>
  <c r="F39" i="3" s="1"/>
  <c r="F325" i="3"/>
  <c r="F324" i="3" s="1"/>
  <c r="F323" i="3" s="1"/>
  <c r="H55" i="3"/>
  <c r="H54" i="3" s="1"/>
  <c r="H38" i="3" s="1"/>
  <c r="H323" i="3"/>
  <c r="H365" i="3"/>
  <c r="H360" i="3" s="1"/>
  <c r="J82" i="3"/>
  <c r="J81" i="3" s="1"/>
  <c r="G333" i="3"/>
  <c r="G341" i="3"/>
  <c r="I26" i="3"/>
  <c r="I121" i="3"/>
  <c r="D323" i="3"/>
  <c r="D109" i="3"/>
  <c r="D108" i="3" s="1"/>
  <c r="D365" i="3"/>
  <c r="E55" i="3"/>
  <c r="E54" i="3" s="1"/>
  <c r="E38" i="3" s="1"/>
  <c r="E96" i="3"/>
  <c r="E95" i="3" s="1"/>
  <c r="E193" i="3"/>
  <c r="G102" i="3"/>
  <c r="G126" i="3"/>
  <c r="G125" i="3" s="1"/>
  <c r="H102" i="3"/>
  <c r="H318" i="3"/>
  <c r="H302" i="3" s="1"/>
  <c r="I86" i="3"/>
  <c r="I85" i="3" s="1"/>
  <c r="I318" i="3"/>
  <c r="I302" i="3" s="1"/>
  <c r="I341" i="3"/>
  <c r="F49" i="3"/>
  <c r="F48" i="3" s="1"/>
  <c r="E341" i="3"/>
  <c r="F55" i="3"/>
  <c r="J357" i="3"/>
  <c r="J356" i="3" s="1"/>
  <c r="D341" i="3"/>
  <c r="E131" i="3"/>
  <c r="E333" i="3"/>
  <c r="F297" i="3"/>
  <c r="F296" i="3" s="1"/>
  <c r="F121" i="3"/>
  <c r="F122" i="3"/>
  <c r="D131" i="3"/>
  <c r="F96" i="3"/>
  <c r="F95" i="3" s="1"/>
  <c r="F339" i="3"/>
  <c r="F338" i="3" s="1"/>
  <c r="E162" i="3"/>
  <c r="F199" i="3"/>
  <c r="F193" i="3" s="1"/>
  <c r="F192" i="3" s="1"/>
  <c r="G122" i="3"/>
  <c r="J355" i="3"/>
  <c r="D89" i="3"/>
  <c r="D86" i="3" s="1"/>
  <c r="D85" i="3" s="1"/>
  <c r="E122" i="3"/>
  <c r="J35" i="3"/>
  <c r="J308" i="3"/>
  <c r="F78" i="3"/>
  <c r="F77" i="3" s="1"/>
  <c r="F357" i="3"/>
  <c r="F356" i="3" s="1"/>
  <c r="J350" i="3"/>
  <c r="J254" i="3" l="1"/>
  <c r="J368" i="3"/>
  <c r="J194" i="3"/>
  <c r="J193" i="3" s="1"/>
  <c r="J192" i="3" s="1"/>
  <c r="J339" i="3"/>
  <c r="J338" i="3" s="1"/>
  <c r="J333" i="3" s="1"/>
  <c r="J264" i="3"/>
  <c r="K193" i="3"/>
  <c r="K192" i="3" s="1"/>
  <c r="J346" i="3"/>
  <c r="J345" i="3" s="1"/>
  <c r="J87" i="3"/>
  <c r="K87" i="3"/>
  <c r="J99" i="3"/>
  <c r="J176" i="3"/>
  <c r="K176" i="3"/>
  <c r="J209" i="3"/>
  <c r="K209" i="3"/>
  <c r="J306" i="3"/>
  <c r="J166" i="3"/>
  <c r="K166" i="3"/>
  <c r="J63" i="3"/>
  <c r="K63" i="3"/>
  <c r="J129" i="3"/>
  <c r="K129" i="3"/>
  <c r="J127" i="3"/>
  <c r="K127" i="3"/>
  <c r="J137" i="3"/>
  <c r="J136" i="3" s="1"/>
  <c r="K137" i="3"/>
  <c r="K136" i="3" s="1"/>
  <c r="J145" i="3"/>
  <c r="J144" i="3" s="1"/>
  <c r="K145" i="3"/>
  <c r="K144" i="3" s="1"/>
  <c r="J154" i="3"/>
  <c r="K154" i="3"/>
  <c r="J256" i="3"/>
  <c r="K256" i="3"/>
  <c r="J250" i="3"/>
  <c r="K250" i="3"/>
  <c r="J298" i="3"/>
  <c r="K298" i="3"/>
  <c r="J349" i="3"/>
  <c r="J348" i="3" s="1"/>
  <c r="K349" i="3"/>
  <c r="K348" i="3" s="1"/>
  <c r="J351" i="3"/>
  <c r="K351" i="3"/>
  <c r="J65" i="3"/>
  <c r="K65" i="3"/>
  <c r="J276" i="3"/>
  <c r="J366" i="3"/>
  <c r="K366" i="3"/>
  <c r="K365" i="3" s="1"/>
  <c r="J304" i="3"/>
  <c r="J303" i="3" s="1"/>
  <c r="K304" i="3"/>
  <c r="K303" i="3" s="1"/>
  <c r="J150" i="3"/>
  <c r="J149" i="3" s="1"/>
  <c r="K150" i="3"/>
  <c r="K149" i="3" s="1"/>
  <c r="J282" i="3"/>
  <c r="K282" i="3"/>
  <c r="J274" i="3"/>
  <c r="K274" i="3"/>
  <c r="J216" i="3"/>
  <c r="J163" i="3"/>
  <c r="K163" i="3"/>
  <c r="J52" i="3"/>
  <c r="J48" i="3" s="1"/>
  <c r="K52" i="3"/>
  <c r="K48" i="3" s="1"/>
  <c r="J270" i="3"/>
  <c r="K270" i="3"/>
  <c r="J294" i="3"/>
  <c r="K294" i="3"/>
  <c r="J140" i="3"/>
  <c r="K141" i="3"/>
  <c r="K140" i="3" s="1"/>
  <c r="J104" i="3"/>
  <c r="J103" i="3" s="1"/>
  <c r="K104" i="3"/>
  <c r="K103" i="3" s="1"/>
  <c r="J61" i="3"/>
  <c r="K61" i="3"/>
  <c r="J319" i="3"/>
  <c r="K319" i="3"/>
  <c r="J91" i="3"/>
  <c r="K91" i="3"/>
  <c r="J119" i="3"/>
  <c r="K119" i="3"/>
  <c r="K109" i="3" s="1"/>
  <c r="K108" i="3" s="1"/>
  <c r="J56" i="3"/>
  <c r="K56" i="3"/>
  <c r="J292" i="3"/>
  <c r="K292" i="3"/>
  <c r="J361" i="3"/>
  <c r="K361" i="3"/>
  <c r="J260" i="3"/>
  <c r="K260" i="3"/>
  <c r="J321" i="3"/>
  <c r="K321" i="3"/>
  <c r="K216" i="3"/>
  <c r="J34" i="3"/>
  <c r="J33" i="3" s="1"/>
  <c r="K34" i="3"/>
  <c r="K33" i="3" s="1"/>
  <c r="J262" i="3"/>
  <c r="K262" i="3"/>
  <c r="J168" i="3"/>
  <c r="K168" i="3"/>
  <c r="J93" i="3"/>
  <c r="K93" i="3"/>
  <c r="J278" i="3"/>
  <c r="K278" i="3"/>
  <c r="J248" i="3"/>
  <c r="K248" i="3"/>
  <c r="J45" i="3"/>
  <c r="J44" i="3" s="1"/>
  <c r="K45" i="3"/>
  <c r="K44" i="3" s="1"/>
  <c r="J266" i="3"/>
  <c r="K266" i="3"/>
  <c r="J97" i="3"/>
  <c r="K97" i="3"/>
  <c r="J331" i="3"/>
  <c r="J330" i="3" s="1"/>
  <c r="J323" i="3" s="1"/>
  <c r="K331" i="3"/>
  <c r="K330" i="3" s="1"/>
  <c r="K323" i="3" s="1"/>
  <c r="J252" i="3"/>
  <c r="K252" i="3"/>
  <c r="J106" i="3"/>
  <c r="K106" i="3"/>
  <c r="J354" i="3"/>
  <c r="J353" i="3" s="1"/>
  <c r="K354" i="3"/>
  <c r="K353" i="3" s="1"/>
  <c r="J31" i="3"/>
  <c r="J26" i="3" s="1"/>
  <c r="K31" i="3"/>
  <c r="K26" i="3" s="1"/>
  <c r="J89" i="3"/>
  <c r="J110" i="3"/>
  <c r="J300" i="3"/>
  <c r="K300" i="3"/>
  <c r="J123" i="3"/>
  <c r="J122" i="3" s="1"/>
  <c r="K123" i="3"/>
  <c r="J147" i="3"/>
  <c r="K147" i="3"/>
  <c r="J237" i="3"/>
  <c r="J236" i="3" s="1"/>
  <c r="K237" i="3"/>
  <c r="K236" i="3" s="1"/>
  <c r="F341" i="3"/>
  <c r="I21" i="3"/>
  <c r="I12" i="3" s="1"/>
  <c r="I162" i="3"/>
  <c r="I156" i="3" s="1"/>
  <c r="D235" i="3"/>
  <c r="F131" i="3"/>
  <c r="J22" i="3"/>
  <c r="I38" i="3"/>
  <c r="F360" i="3"/>
  <c r="I235" i="3"/>
  <c r="F235" i="3"/>
  <c r="J17" i="3"/>
  <c r="J16" i="3" s="1"/>
  <c r="G235" i="3"/>
  <c r="H235" i="3"/>
  <c r="F54" i="3"/>
  <c r="F38" i="3" s="1"/>
  <c r="J109" i="3"/>
  <c r="G156" i="3"/>
  <c r="H156" i="3"/>
  <c r="F333" i="3"/>
  <c r="F302" i="3"/>
  <c r="F21" i="3"/>
  <c r="F12" i="3" s="1"/>
  <c r="G72" i="3"/>
  <c r="H72" i="3"/>
  <c r="E72" i="3"/>
  <c r="F156" i="3"/>
  <c r="D360" i="3"/>
  <c r="D72" i="3"/>
  <c r="I72" i="3"/>
  <c r="D156" i="3"/>
  <c r="E156" i="3"/>
  <c r="F72" i="3"/>
  <c r="K247" i="3" l="1"/>
  <c r="K246" i="3" s="1"/>
  <c r="J341" i="3"/>
  <c r="J297" i="3"/>
  <c r="J296" i="3" s="1"/>
  <c r="J86" i="3"/>
  <c r="J85" i="3" s="1"/>
  <c r="J96" i="3"/>
  <c r="J95" i="3" s="1"/>
  <c r="J55" i="3"/>
  <c r="J54" i="3" s="1"/>
  <c r="J38" i="3" s="1"/>
  <c r="J162" i="3"/>
  <c r="J156" i="3" s="1"/>
  <c r="K55" i="3"/>
  <c r="K54" i="3" s="1"/>
  <c r="K38" i="3" s="1"/>
  <c r="J121" i="3"/>
  <c r="J108" i="3"/>
  <c r="K360" i="3"/>
  <c r="J318" i="3"/>
  <c r="J302" i="3" s="1"/>
  <c r="J102" i="3"/>
  <c r="J126" i="3"/>
  <c r="J125" i="3" s="1"/>
  <c r="K162" i="3"/>
  <c r="K156" i="3" s="1"/>
  <c r="J365" i="3"/>
  <c r="J360" i="3" s="1"/>
  <c r="J131" i="3"/>
  <c r="J247" i="3"/>
  <c r="J246" i="3" s="1"/>
  <c r="J235" i="3" s="1"/>
  <c r="K341" i="3"/>
  <c r="K131" i="3"/>
  <c r="K86" i="3"/>
  <c r="K85" i="3" s="1"/>
  <c r="K96" i="3"/>
  <c r="K95" i="3" s="1"/>
  <c r="K21" i="3"/>
  <c r="K12" i="3" s="1"/>
  <c r="K126" i="3"/>
  <c r="K125" i="3" s="1"/>
  <c r="K102" i="3"/>
  <c r="K122" i="3"/>
  <c r="K121" i="3"/>
  <c r="K318" i="3"/>
  <c r="K302" i="3" s="1"/>
  <c r="K297" i="3"/>
  <c r="K296" i="3" s="1"/>
  <c r="J21" i="3"/>
  <c r="J12" i="3" s="1"/>
  <c r="G370" i="3"/>
  <c r="F370" i="3"/>
  <c r="I370" i="3"/>
  <c r="H370" i="3"/>
  <c r="E370" i="3"/>
  <c r="D370" i="3"/>
  <c r="J72" i="3" l="1"/>
  <c r="J370" i="3" s="1"/>
  <c r="K235" i="3"/>
  <c r="K72" i="3"/>
  <c r="K370" i="3" l="1"/>
</calcChain>
</file>

<file path=xl/sharedStrings.xml><?xml version="1.0" encoding="utf-8"?>
<sst xmlns="http://schemas.openxmlformats.org/spreadsheetml/2006/main" count="911" uniqueCount="373">
  <si>
    <t>Наименование кода</t>
  </si>
  <si>
    <t>Сумма</t>
  </si>
  <si>
    <t xml:space="preserve">Расходы на  обеспечение функций муниципальных органов 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</si>
  <si>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</si>
  <si>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</si>
  <si>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</si>
  <si>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</si>
  <si>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</si>
  <si>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</si>
  <si>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</si>
  <si>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</si>
  <si>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</si>
  <si>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>к решению окружного Совета депутатов</t>
  </si>
  <si>
    <t xml:space="preserve">Глава МО "Зеленоградский городской округ" </t>
  </si>
  <si>
    <t>Подпрограмма " Совершенствование мер  социальной поддержки  отдельных категория граждан"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</si>
  <si>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</si>
  <si>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</si>
  <si>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</si>
  <si>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</si>
  <si>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</si>
  <si>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</si>
  <si>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</si>
  <si>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</si>
  <si>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</si>
  <si>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</si>
  <si>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</si>
  <si>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</si>
  <si>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</si>
  <si>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0210001010</t>
  </si>
  <si>
    <t>0210000000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</si>
  <si>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</si>
  <si>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</si>
  <si>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</si>
  <si>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</si>
  <si>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</si>
  <si>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</si>
  <si>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</si>
  <si>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</si>
  <si>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</si>
  <si>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</si>
  <si>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</si>
  <si>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>0221000000</t>
  </si>
  <si>
    <t>0221070620</t>
  </si>
  <si>
    <t>0221001010</t>
  </si>
  <si>
    <t>0221002010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</si>
  <si>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</si>
  <si>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</si>
  <si>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</si>
  <si>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</si>
  <si>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</si>
  <si>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</si>
  <si>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0200002010</t>
  </si>
  <si>
    <t>Проведение  мероприятий</t>
  </si>
  <si>
    <t xml:space="preserve">0200000000  </t>
  </si>
  <si>
    <t>0500000000</t>
  </si>
  <si>
    <t>Основное мероприятие "Благоустройство территории  муниципального образования"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</si>
  <si>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</si>
  <si>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</si>
  <si>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>0320070710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</si>
  <si>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</si>
  <si>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</si>
  <si>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</si>
  <si>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</si>
  <si>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</si>
  <si>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</si>
  <si>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</si>
  <si>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</si>
  <si>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</si>
  <si>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</si>
  <si>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</si>
  <si>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</si>
  <si>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</si>
  <si>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</si>
  <si>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</si>
  <si>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</si>
  <si>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</si>
  <si>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</si>
  <si>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</si>
  <si>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</si>
  <si>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</si>
  <si>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</si>
  <si>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0700000000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</si>
  <si>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</si>
  <si>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</si>
  <si>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</si>
  <si>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>0610000000</t>
  </si>
  <si>
    <t>0602001010</t>
  </si>
  <si>
    <t>Подпрограмма "Развитие сельских территорий"</t>
  </si>
  <si>
    <t>0630001010</t>
  </si>
  <si>
    <t>0100000000</t>
  </si>
  <si>
    <t>0102001010</t>
  </si>
  <si>
    <t>Расходы на обеспечение  функций  муниципальных органов исполнительной власти</t>
  </si>
  <si>
    <t>0103001010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</si>
  <si>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</si>
  <si>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</si>
  <si>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</si>
  <si>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</si>
  <si>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</si>
  <si>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</si>
  <si>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</si>
  <si>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</si>
  <si>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</si>
  <si>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</si>
  <si>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</si>
  <si>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</si>
  <si>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>0900000000</t>
  </si>
  <si>
    <t>0901001010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</si>
  <si>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</si>
  <si>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</si>
  <si>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</si>
  <si>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</si>
  <si>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</si>
  <si>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</si>
  <si>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</si>
  <si>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0300001010</t>
  </si>
  <si>
    <t>03100П5010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</si>
  <si>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</si>
  <si>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</si>
  <si>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</si>
  <si>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</si>
  <si>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</si>
  <si>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</si>
  <si>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</si>
  <si>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</si>
  <si>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</si>
  <si>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</si>
  <si>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</si>
  <si>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</si>
  <si>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</si>
  <si>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</si>
  <si>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</si>
  <si>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</si>
  <si>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</si>
  <si>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</si>
  <si>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</si>
  <si>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</si>
  <si>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</si>
  <si>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</si>
  <si>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</si>
  <si>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</si>
  <si>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0520000000</t>
  </si>
  <si>
    <t>0520001010</t>
  </si>
  <si>
    <t>0530000000</t>
  </si>
  <si>
    <t>0530001010</t>
  </si>
  <si>
    <t xml:space="preserve">Расходы на обеспечение  деятельности  казённых учреждений 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</si>
  <si>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</si>
  <si>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</si>
  <si>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</si>
  <si>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</si>
  <si>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>1000000000</t>
  </si>
  <si>
    <t>1000001010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</si>
  <si>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</si>
  <si>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</si>
  <si>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</si>
  <si>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</si>
  <si>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</si>
  <si>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</si>
  <si>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0703001010</t>
  </si>
  <si>
    <t>9900002010</t>
  </si>
  <si>
    <t xml:space="preserve">Резервные фонды 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</si>
  <si>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</si>
  <si>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</si>
  <si>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</si>
  <si>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</si>
  <si>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1000005010</t>
  </si>
  <si>
    <t>Капитальные вложения в объекты муниципальной собственности</t>
  </si>
  <si>
    <t>9900003010</t>
  </si>
  <si>
    <t>400</t>
  </si>
  <si>
    <t>0320070000</t>
  </si>
  <si>
    <t>Организация отдыха детей всех групп здоровья в лагерях различных типов (О.Б.)</t>
  </si>
  <si>
    <t>0340071140</t>
  </si>
  <si>
    <t>Мероприятия по организации  обеспечению жильем молодых  семей (М.Б.)</t>
  </si>
  <si>
    <t>Субсидии на решение вопросов местного значения в сфере жилищно-коммунального хозяйства (О.Б.)</t>
  </si>
  <si>
    <t>Субсидии на поддержку муниципальных газет (О.Б.)</t>
  </si>
  <si>
    <t>0703071250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</si>
  <si>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</si>
  <si>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</si>
  <si>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</si>
  <si>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 xml:space="preserve">Подпрограмма "Развитие  дополнительного образования" </t>
  </si>
  <si>
    <t>0222001000</t>
  </si>
  <si>
    <t>Основное мероприятие "Обеспечению присмотра и ухода за детьми в  муниципальных дошкольных организаций и содержание муниципального имущества "</t>
  </si>
  <si>
    <t>Организация  и проведение работ  по паспортизации технической инвентаризации  объектов недвижимости</t>
  </si>
  <si>
    <t>Оценка земельных участков  для реализации с аукциона</t>
  </si>
  <si>
    <t>1000006010</t>
  </si>
  <si>
    <t>0620001020</t>
  </si>
  <si>
    <t xml:space="preserve">Обеспечение бесплатной перевозки обучающихся к муниципальным общеобразовательным учреждениям </t>
  </si>
  <si>
    <t>0221071010</t>
  </si>
  <si>
    <t xml:space="preserve">Модернизация автобусного парка </t>
  </si>
  <si>
    <t>0221071280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</si>
  <si>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</si>
  <si>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бюджета МО "Зеленоградский городской округ" малоимущим гражданам Зеленоградского городского округа"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</si>
  <si>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Совета депутатов от 16.12.2015г. №325 " Об утверждении Положения "О присвоении звания "Почетный гражданин МО "Зеленоградский городской округ"</t>
  </si>
  <si>
    <t>2018 год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</si>
  <si>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</t>
  </si>
  <si>
    <t>Предоставление   муниципальных гарантий  муниципальным служащим  в соответствии с Решением  окружного Совета депутатов  от 16.12.2015г. № 326"Об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</si>
  <si>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0700001010</t>
  </si>
  <si>
    <t>Основное мероприятие "Развитие и обслуживание системы АПК "Безопасный город"</t>
  </si>
  <si>
    <t>0106001010</t>
  </si>
  <si>
    <t>Обеспечение поддержки  в сфере культуры</t>
  </si>
  <si>
    <t>0400071090</t>
  </si>
  <si>
    <t>0104071050</t>
  </si>
  <si>
    <t>01040071050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</si>
  <si>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</si>
  <si>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9900000000</t>
  </si>
  <si>
    <t>9900051200</t>
  </si>
  <si>
    <t>0520071380</t>
  </si>
  <si>
    <t>0520070730</t>
  </si>
  <si>
    <t>0520002010</t>
  </si>
  <si>
    <t>0570003010</t>
  </si>
  <si>
    <t>0540000000</t>
  </si>
  <si>
    <t>0540001010</t>
  </si>
  <si>
    <t>0530071120</t>
  </si>
  <si>
    <t xml:space="preserve">Уточнения </t>
  </si>
  <si>
    <t>Межпоселковый газопровод высокого давления отг. Калининграда к пос. Переславское, Кумачёво, Зелёный Гай 1-й этап</t>
  </si>
  <si>
    <t>Капитальные вложения в объекты государственной (муниципальной) собственности</t>
  </si>
  <si>
    <t>05300R099В</t>
  </si>
  <si>
    <t xml:space="preserve">Субвенция на содержание  товарного молочного поголовья КРС молочных пород </t>
  </si>
  <si>
    <t>Иные бюджетные ассигнования</t>
  </si>
  <si>
    <t>Субвенция на возмещение части затрат  на приобретение племенного  молодняка с\х животных (за исключением  КРС мясного направления)  и семени племенных быков производителей)</t>
  </si>
  <si>
    <t xml:space="preserve">Субвенция на возмещение части затрат  с\х  товаропроизводителей  при проведении  агрохимического  обследования  с\х угодий </t>
  </si>
  <si>
    <t>Субвенция на поддержку  производства и переработку  сельскохозяйственной продукции  в малых формах хозяйствования</t>
  </si>
  <si>
    <t>Субвенция на возмещение части затрат  при определении посевных  и сортовых качеств семян  и проведение сортоиспытания</t>
  </si>
  <si>
    <t xml:space="preserve">Субвенции на повышение продукции  крупного рогатого скота  молочного направления </t>
  </si>
  <si>
    <t xml:space="preserve">Субвенция на поддержку племенного животноводства </t>
  </si>
  <si>
    <t>Поддержка начинающих фермеров</t>
  </si>
  <si>
    <t>Грантовая поддержка  сельскохозяйственных потребительских кооперативов  для развития материально-технической базы</t>
  </si>
  <si>
    <t>Субвенции на возмещение части процентной ставки  по инвестиционным кредитам (займам)  в агропромышленном комплексе</t>
  </si>
  <si>
    <t>Проведение мероприятий "Вовлечение в оборот земель сельскохозяйственного назначения"</t>
  </si>
  <si>
    <t>0610070780</t>
  </si>
  <si>
    <t>0610070790</t>
  </si>
  <si>
    <t>0610070810</t>
  </si>
  <si>
    <t>0610070820</t>
  </si>
  <si>
    <t>0610070830</t>
  </si>
  <si>
    <t>0610070840</t>
  </si>
  <si>
    <t>0610070860</t>
  </si>
  <si>
    <t>0610070880</t>
  </si>
  <si>
    <t xml:space="preserve">Субвенция на оказание несвязанной поддержки сельскохозяйственным  товаропроизводителям  в области растениеводства </t>
  </si>
  <si>
    <t>06100R5410</t>
  </si>
  <si>
    <t>06100R5420</t>
  </si>
  <si>
    <t>06100R5432</t>
  </si>
  <si>
    <t>06100R5434</t>
  </si>
  <si>
    <t>06100R5436</t>
  </si>
  <si>
    <t>06100R543А</t>
  </si>
  <si>
    <t>06100R543В</t>
  </si>
  <si>
    <t>06100R5440</t>
  </si>
  <si>
    <t>0620001030</t>
  </si>
  <si>
    <t>Формирование современной городской среды на дворовые территории</t>
  </si>
  <si>
    <t>0520071070</t>
  </si>
  <si>
    <t>0400021910</t>
  </si>
  <si>
    <t>0520071240</t>
  </si>
  <si>
    <t>Разработка проектной и рабочей документации  по объекту "Реконструкция  очистных сооружений  в пос. Рыбачий Зеленоградского района"</t>
  </si>
  <si>
    <t>0530094019</t>
  </si>
  <si>
    <t>0530094009</t>
  </si>
  <si>
    <t>0530094010</t>
  </si>
  <si>
    <t>0540000101</t>
  </si>
  <si>
    <t xml:space="preserve">Поправки №2 </t>
  </si>
  <si>
    <t>доп 500</t>
  </si>
  <si>
    <t>обл</t>
  </si>
  <si>
    <t>Изменения местный бюджет</t>
  </si>
  <si>
    <t>Уточненные назначения</t>
  </si>
  <si>
    <t>0107001010</t>
  </si>
  <si>
    <t>Выполнение других общегосударственных задач</t>
  </si>
  <si>
    <t>Осуществление полномочий Калининградской области  в сфере организации работы комиссии по делам  несовершеннолетних  и защите их прав</t>
  </si>
  <si>
    <t xml:space="preserve">Осуществление мероприятий "Проведение работ по  капитальному ремонту дорог общего пользования" </t>
  </si>
  <si>
    <t>Проведение ремонта автомобильных дорог  общего пользования муниципального значения (за счет дорожного фонда)</t>
  </si>
  <si>
    <t xml:space="preserve">Проведение ремонта автомобильных дорог  общего пользования муниципального значения </t>
  </si>
  <si>
    <t>Расходы по содержанию жилищного хозяйства</t>
  </si>
  <si>
    <t>0510003010</t>
  </si>
  <si>
    <t>Разработка проектной и рабочей документации  по объекту "Межпоселковый газопровод высокого давления от г. Калининграда к пос. Переславское, Кумачево, Зелёный Гай Зеленоградского района II этап"</t>
  </si>
  <si>
    <t>0530094004</t>
  </si>
  <si>
    <t>Прокладка тепловых сетей с устройством тепловых пунктов в г. Зеленоградске Калининградской области</t>
  </si>
  <si>
    <t>Мероприятие по реализации "Программы конкретных дел"</t>
  </si>
  <si>
    <t>Газификация объектов городского округа</t>
  </si>
  <si>
    <t>0530001020</t>
  </si>
  <si>
    <t>Мероприятие по поддержке коммунального хозяйства</t>
  </si>
  <si>
    <t>Проведение работ по объекту "Капитальный ремонт здания, расположенного по адресу: Калининградская область, г. Зеленоградск, ул. Ленина д.1</t>
  </si>
  <si>
    <t>0400006010</t>
  </si>
  <si>
    <t>0603001010</t>
  </si>
  <si>
    <t>Возмещение части затрат на обследование молока и молочной продукции гражданам реализующим молока</t>
  </si>
  <si>
    <t>Субвенции на возмещение части затрат на приобретение элитных семян</t>
  </si>
  <si>
    <t>06100R5431</t>
  </si>
  <si>
    <t>9900002000</t>
  </si>
  <si>
    <t>Подпрограмма" Обеспечение и совершенствование услуг казенными учреждениями"</t>
  </si>
  <si>
    <t>Создание условий для отдыха и рекреации в муниципальных образованиях Калининградской области</t>
  </si>
  <si>
    <t>Организация проведения мероприятий  посвященных праздничным датам</t>
  </si>
  <si>
    <t>Основное мероприятие "Финансовое обеспечение проведения праздничных мероприятий"</t>
  </si>
  <si>
    <t>Субвенции  гражданам на приобретение жилья на селе (М.Б.)</t>
  </si>
  <si>
    <t>06300L5674</t>
  </si>
  <si>
    <t>Муниципальная программа МО "Эффективные финансы"</t>
  </si>
  <si>
    <t xml:space="preserve">Муниципальная программа  "Развитие гражданского общества" </t>
  </si>
  <si>
    <t>Муниципальная программа   "Социальная поддержка населения"</t>
  </si>
  <si>
    <t>Муниципальная программа "Развитие образования в муниципальном образовании Зеленоградский городской округ"</t>
  </si>
  <si>
    <t xml:space="preserve">Муниципальная программа  "Эффективное  муниципальное  управление" 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</si>
  <si>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</si>
  <si>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0520004010</t>
  </si>
  <si>
    <t>0520004012</t>
  </si>
  <si>
    <t>0520004013</t>
  </si>
  <si>
    <t>0520004014</t>
  </si>
  <si>
    <t>0520004015</t>
  </si>
  <si>
    <t>0520004016</t>
  </si>
  <si>
    <t>0520004017</t>
  </si>
  <si>
    <t>12700,00</t>
  </si>
  <si>
    <t>0540071310</t>
  </si>
  <si>
    <t>06100R541F</t>
  </si>
  <si>
    <t>0610070220</t>
  </si>
  <si>
    <t>0610070230</t>
  </si>
  <si>
    <t xml:space="preserve">Субвенции на возмещение части затрат на уплату процентов по инвестиционным кредитам (займам) в агропромышленном комплексе </t>
  </si>
  <si>
    <t>06100R4330</t>
  </si>
  <si>
    <t>Выполнение ремонтных работ  на водопропускных объектах  (О.Б.)</t>
  </si>
  <si>
    <t>0540021910</t>
  </si>
  <si>
    <t>0540000310</t>
  </si>
  <si>
    <t>0540001020</t>
  </si>
  <si>
    <t>Подпрограмма "Содержание дорожного и коммунального хозяйства"</t>
  </si>
  <si>
    <t>Подпрограмма "Развитие газификации и прочие расходы по жилищно-коммунальному хозяйству"</t>
  </si>
  <si>
    <t>Осуществление мероприятий "Развитие газификации и прочие расходы по жилищно-коммунальному хозяйству"</t>
  </si>
  <si>
    <t>Софинансирование по программе "Создание условий для отдыха и рекреации в муниципальных образованиях Калининградской области" (М.Б.)</t>
  </si>
  <si>
    <t>0520003010</t>
  </si>
  <si>
    <t>05300R099I</t>
  </si>
  <si>
    <t>Софинансирование по мероприятиям реализации программы "Конкретных дел"</t>
  </si>
  <si>
    <t>03600L4970</t>
  </si>
  <si>
    <t>0360000000</t>
  </si>
  <si>
    <t xml:space="preserve">Уточненные назначения </t>
  </si>
  <si>
    <t>Приложение №3</t>
  </si>
  <si>
    <t xml:space="preserve">Исполнение </t>
  </si>
  <si>
    <t xml:space="preserve">Предоставление питания льготной категории обучающихся </t>
  </si>
  <si>
    <t>Мероприятия по организации  обеспечению жильем молодых  семей (Ф.О., О.Б.)</t>
  </si>
  <si>
    <t>Осуществление мероприятий по озеленению территории МО "Зеленоградский городской округ"</t>
  </si>
  <si>
    <t xml:space="preserve">Исполнение безрегрессной гарантии </t>
  </si>
  <si>
    <t>Исполнение безрегрессных гарантий за счет средств (М.Б.)</t>
  </si>
  <si>
    <t>06100R5433</t>
  </si>
  <si>
    <t>Устойчивое развитие сельских территорий  (предоставление  социальных выплат на  строительство (приобретение) жилья гражданам, проживающим в сельской местности, в  том числе молодых семей и молодых специалистов) (Ф.Б, О.Б.)</t>
  </si>
  <si>
    <t xml:space="preserve">Основное мероприятие "Организация  и проведение работ  по государственной кадастровой оценки" </t>
  </si>
  <si>
    <t>Глава администрации муниципального образования "Зеленоградский городской округ"</t>
  </si>
  <si>
    <t>Основное мероприятие "Финансовое обеспечение исполнительных органов  муниципальной власти "</t>
  </si>
  <si>
    <t>Основное мероприятие " Содержание МКУ "Служба заказчика Зеленоградского городского округа"</t>
  </si>
  <si>
    <t>Основное мероприятие "Финансовое обеспечение многофункционального центра"</t>
  </si>
  <si>
    <t xml:space="preserve"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 </t>
  </si>
  <si>
    <t>Предоставление субсидий бюджетным, автономным  учреждениям  и иным некоммерческим организациям</t>
  </si>
  <si>
    <t>Основное мероприятие "Предоставление дополнительного образования"</t>
  </si>
  <si>
    <t>Расходы на выплату  поощрительной стипендии  многодетным  семьям в соответствии с Решением районного Совета депутатов МО "Зеленоградский район" от 31.03.2008г. №168</t>
  </si>
  <si>
    <t xml:space="preserve">Основное мероприятие "Социальное обслуживание граждан- получателей  социальных услуг" </t>
  </si>
  <si>
    <t>Субвенции на обеспечение полномочий Калининградской области  по социальному обслуживанию граждан пожилого возраста и инвалидов</t>
  </si>
  <si>
    <t>Основное мероприятие "Обеспечение социальной поддержки  детей и семей, имеющих детей"</t>
  </si>
  <si>
    <t>Ремонт фасада здания, расположенного по адресу Калининградская область г. Зеленоградск ул. Ленина д.1</t>
  </si>
  <si>
    <t xml:space="preserve">Осуществление ежемесячных платежей за капитальный ремонт муниципальных квартиры </t>
  </si>
  <si>
    <t>Содержание морских пляжей  в границах муниципального образования</t>
  </si>
  <si>
    <t>Содержание муниципального казенного учреждение "Плантаже"</t>
  </si>
  <si>
    <t>Создание новых конкурентоспособных секторов экономики (Межпоселковый газопровод высокого давления отг. Калининграда к пос. Переславское, Кумачёво, Зелёный Гай 1-й этап)</t>
  </si>
  <si>
    <t>Разработка проектной и рабочей документации по объекту "Газификация пос. Кострово, пос. Логвино Зеленоградского района"</t>
  </si>
  <si>
    <t xml:space="preserve">Исполнение безрегрессных гарантий (субсидии на обеспечение мероприятий по организации теплоснабжения  (О.Б.) </t>
  </si>
  <si>
    <t>Субвенция на компенсацию  части затрат  на строительство, модернизацию и техническое освещение свиноводческих комплексов  полного цикла боен</t>
  </si>
  <si>
    <t xml:space="preserve">Субвенция на оказание погектарной поддержки на выращивание продукции растениеводства </t>
  </si>
  <si>
    <t xml:space="preserve">Субвенция на возмещение  части затрат  на строительство, реконструкцию  и модернизацию  птицеводческих комплексов </t>
  </si>
  <si>
    <t xml:space="preserve">Субвенция на оказание поддержки на развитие садоводства,  многолетних плодово-ягодных насаждений 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</si>
  <si>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и животноводства</t>
  </si>
  <si>
    <t xml:space="preserve">Возмещение части процентных ставок  по долгосрочным, среднесрочным  и краткосрочным кредитам, взятыми малыми формами хозяйствования </t>
  </si>
  <si>
    <t xml:space="preserve">Субвенция на оказание несвязанной поддержки сельскохозяйственным товаропроизводителям в области растениеводства  </t>
  </si>
  <si>
    <t xml:space="preserve">Субвенции на возмещения части процентной ставки по инвестиционным кредитам (займам) в агропромышленном комплексе </t>
  </si>
  <si>
    <t xml:space="preserve">Субвенции на возмещение части процентной ставки по краткосрочным кредитам (займам) </t>
  </si>
  <si>
    <t>Проведение мероприятий "Борьба с борщевиком "Сосновского"</t>
  </si>
  <si>
    <t>Основное мероприятие "Развитие сельских территорий"</t>
  </si>
  <si>
    <t>Размещение информационных материалов  с целью  информирования граждан  о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</si>
  <si>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</si>
  <si>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 xml:space="preserve">Создание системы обеспечения вызовов  экстренной оперативной службы по единому номеру "112" </t>
  </si>
  <si>
    <t>Основное мероприятие "Обеспечение  документами территориального планирования  для размещение объектов муниципального значения"</t>
  </si>
  <si>
    <t>Организация работы по формированию генерального плана  территории муниципального образования</t>
  </si>
  <si>
    <t>Обеспечение поддержки юридических лиц работающих в сфере малого бизнеса</t>
  </si>
  <si>
    <t xml:space="preserve">Основные мероприятие " Обеспечение жильем молодых гражданам" </t>
  </si>
  <si>
    <t>0320070650</t>
  </si>
  <si>
    <t>Исполнение  бюджетных ассигнований бюджета МО " Зеленоградский  городской округ"  за 2018 год  по  целевым статьям  (муниципальным программам и непрограммным  направлениям деятельности), группам видов  классификации расходов</t>
  </si>
  <si>
    <t>0703000000</t>
  </si>
  <si>
    <t>муниципального образования "Зеленоградский городской округ"</t>
  </si>
  <si>
    <t xml:space="preserve">"Об утверждении отчета об исполнении бюджета муниципального образования "Зеленоградский городской округ" за 2018 год"
от 17 апреля 2019 года №295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</si>
</sst>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b/>
      <i/>
      <sz val="12"/>
      <color rgb="FF2222A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3" fillId="2" borderId="1" xfId="0" applyNumberFormat="1" applyFont="1" applyFill="1" applyBorder="1"/>
    <xf numFmtId="2" fontId="2" fillId="0" borderId="1" xfId="0" applyNumberFormat="1" applyFont="1" applyBorder="1"/>
    <xf numFmtId="0" fontId="2" fillId="3" borderId="1" xfId="0" applyFont="1" applyFill="1" applyBorder="1"/>
    <xf numFmtId="49" fontId="2" fillId="3" borderId="1" xfId="0" applyNumberFormat="1" applyFont="1" applyFill="1" applyBorder="1"/>
    <xf numFmtId="2" fontId="2" fillId="3" borderId="1" xfId="0" applyNumberFormat="1" applyFont="1" applyFill="1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2" fontId="6" fillId="0" borderId="1" xfId="0" applyNumberFormat="1" applyFont="1" applyBorder="1"/>
    <xf numFmtId="49" fontId="7" fillId="0" borderId="1" xfId="0" applyNumberFormat="1" applyFont="1" applyFill="1" applyBorder="1"/>
    <xf numFmtId="0" fontId="7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/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49" fontId="3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Border="1"/>
    <xf numFmtId="0" fontId="3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/>
    <xf numFmtId="0" fontId="2" fillId="4" borderId="1" xfId="0" applyFont="1" applyFill="1" applyBorder="1"/>
    <xf numFmtId="0" fontId="3" fillId="0" borderId="2" xfId="0" applyFont="1" applyFill="1" applyBorder="1" applyAlignment="1">
      <alignment vertical="center" wrapText="1"/>
    </xf>
    <xf numFmtId="2" fontId="4" fillId="0" borderId="1" xfId="0" applyNumberFormat="1" applyFont="1" applyBorder="1"/>
    <xf numFmtId="2" fontId="9" fillId="0" borderId="1" xfId="0" applyNumberFormat="1" applyFont="1" applyBorder="1"/>
    <xf numFmtId="2" fontId="8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/>
    <xf numFmtId="2" fontId="6" fillId="0" borderId="1" xfId="0" applyNumberFormat="1" applyFont="1" applyFill="1" applyBorder="1"/>
    <xf numFmtId="2" fontId="3" fillId="4" borderId="1" xfId="0" applyNumberFormat="1" applyFont="1" applyFill="1" applyBorder="1"/>
    <xf numFmtId="2" fontId="2" fillId="4" borderId="1" xfId="0" applyNumberFormat="1" applyFont="1" applyFill="1" applyBorder="1"/>
    <xf numFmtId="0" fontId="5" fillId="0" borderId="0" xfId="0" applyFont="1"/>
    <xf numFmtId="0" fontId="10" fillId="0" borderId="1" xfId="0" applyFont="1" applyBorder="1" applyAlignment="1">
      <alignment wrapText="1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right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0" fontId="7" fillId="5" borderId="1" xfId="0" applyFont="1" applyFill="1" applyBorder="1" applyAlignment="1">
      <alignment wrapText="1"/>
    </xf>
    <xf numFmtId="49" fontId="7" fillId="5" borderId="1" xfId="0" applyNumberFormat="1" applyFont="1" applyFill="1" applyBorder="1"/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/>
    <xf numFmtId="0" fontId="0" fillId="5" borderId="0" xfId="0" applyFill="1"/>
    <xf numFmtId="2" fontId="2" fillId="5" borderId="7" xfId="0" applyNumberFormat="1" applyFont="1" applyFill="1" applyBorder="1"/>
    <xf numFmtId="2" fontId="2" fillId="5" borderId="1" xfId="0" applyNumberFormat="1" applyFont="1" applyFill="1" applyBorder="1"/>
    <xf numFmtId="0" fontId="1" fillId="5" borderId="0" xfId="0" applyFont="1" applyFill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0" fillId="0" borderId="6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2"/>
  <sheetViews>
    <sheetView tabSelected="1" topLeftCell="A350" zoomScale="84" zoomScaleNormal="84" workbookViewId="0">
      <selection activeCell="A2" sqref="A2:L370"/>
    </sheetView>
  </sheetViews>
  <sheetFormatPr defaultRowHeight="12.75" x14ac:dyDescent="0.2"/>
  <cols>
    <col min="1" max="1" width="53.85546875" customWidth="1"/>
    <col min="2" max="2" width="18.42578125" style="1" customWidth="1"/>
    <col min="3" max="3" width="11.5703125" style="1" customWidth="1"/>
    <col min="4" max="4" width="12.7109375" hidden="1" customWidth="1"/>
    <col min="5" max="5" width="4.5703125" hidden="1" customWidth="1"/>
    <col min="6" max="6" width="6.85546875" hidden="1" customWidth="1"/>
    <col min="7" max="7" width="6" hidden="1" customWidth="1"/>
    <col min="8" max="8" width="6.42578125" hidden="1" customWidth="1"/>
    <col min="9" max="9" width="11.85546875" hidden="1" customWidth="1"/>
    <col min="10" max="10" width="14.85546875" hidden="1" customWidth="1"/>
    <col min="11" max="12" width="17.42578125" customWidth="1"/>
  </cols>
  <sheetData>
    <row r="1" spans="1:12" ht="4.5" customHeight="1" x14ac:dyDescent="0.2"/>
    <row r="2" spans="1:12" x14ac:dyDescent="0.2">
      <c r="A2" s="95" t="s">
        <v>322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</row>
    <row r="3" spans="1:12" x14ac:dyDescent="0.2">
      <c r="A3" s="93" t="s">
        <v>12</v>
      </c>
      <c r="B3" s="93"/>
      <c r="C3" s="93"/>
      <c r="D3" s="93"/>
      <c r="E3" s="94"/>
      <c r="F3" s="94"/>
      <c r="G3" s="94"/>
      <c r="H3" s="94"/>
      <c r="I3" s="94"/>
      <c r="J3" s="94"/>
      <c r="K3" s="94"/>
      <c r="L3" s="94"/>
    </row>
    <row r="4" spans="1:12" ht="12" customHeight="1" x14ac:dyDescent="0.2">
      <c r="A4" s="93" t="s">
        <v>371</v>
      </c>
      <c r="B4" s="93"/>
      <c r="C4" s="93"/>
      <c r="D4" s="93"/>
      <c r="E4" s="94"/>
      <c r="F4" s="94"/>
      <c r="G4" s="94"/>
      <c r="H4" s="94"/>
      <c r="I4" s="94"/>
      <c r="J4" s="94"/>
      <c r="K4" s="94"/>
      <c r="L4" s="94"/>
    </row>
    <row r="5" spans="1:12" ht="39" customHeight="1" x14ac:dyDescent="0.2">
      <c r="B5" s="92" t="s">
        <v>372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2">
      <c r="B6" s="92"/>
      <c r="C6" s="93"/>
      <c r="D6" s="93"/>
      <c r="E6" s="94"/>
      <c r="F6" s="94"/>
      <c r="G6" s="94"/>
      <c r="H6" s="94"/>
      <c r="I6" s="94"/>
      <c r="J6" s="94"/>
      <c r="K6" s="94"/>
      <c r="L6" s="80"/>
    </row>
    <row r="7" spans="1:12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54" customHeight="1" x14ac:dyDescent="0.2">
      <c r="A8" s="99" t="s">
        <v>369</v>
      </c>
      <c r="B8" s="100"/>
      <c r="C8" s="100"/>
      <c r="D8" s="100"/>
      <c r="E8" s="94"/>
      <c r="F8" s="94"/>
      <c r="G8" s="94"/>
      <c r="H8" s="94"/>
      <c r="I8" s="94"/>
      <c r="J8" s="94"/>
      <c r="K8" s="94"/>
      <c r="L8" s="94"/>
    </row>
    <row r="9" spans="1:12" ht="20.25" customHeight="1" x14ac:dyDescent="0.2">
      <c r="C9" s="103"/>
      <c r="D9" s="103"/>
      <c r="K9" s="79"/>
      <c r="L9" s="79" t="s">
        <v>26</v>
      </c>
    </row>
    <row r="10" spans="1:12" ht="15.75" customHeight="1" x14ac:dyDescent="0.25">
      <c r="A10" s="96" t="s">
        <v>0</v>
      </c>
      <c r="B10" s="97" t="s">
        <v>24</v>
      </c>
      <c r="C10" s="97" t="s">
        <v>25</v>
      </c>
      <c r="D10" s="53" t="s">
        <v>1</v>
      </c>
      <c r="E10" s="53" t="s">
        <v>212</v>
      </c>
      <c r="F10" s="53" t="s">
        <v>255</v>
      </c>
      <c r="G10" s="101" t="s">
        <v>256</v>
      </c>
      <c r="H10" s="101" t="s">
        <v>257</v>
      </c>
      <c r="I10" s="101" t="s">
        <v>258</v>
      </c>
      <c r="J10" s="101" t="s">
        <v>259</v>
      </c>
      <c r="K10" s="101" t="s">
        <v>321</v>
      </c>
      <c r="L10" s="101" t="s">
        <v>323</v>
      </c>
    </row>
    <row r="11" spans="1:12" ht="34.5" customHeight="1" x14ac:dyDescent="0.25">
      <c r="A11" s="96"/>
      <c r="B11" s="98"/>
      <c r="C11" s="98"/>
      <c r="D11" s="53" t="s">
        <v>192</v>
      </c>
      <c r="E11" s="53" t="s">
        <v>192</v>
      </c>
      <c r="F11" s="53"/>
      <c r="G11" s="102"/>
      <c r="H11" s="102"/>
      <c r="I11" s="102"/>
      <c r="J11" s="102"/>
      <c r="K11" s="102"/>
      <c r="L11" s="102"/>
    </row>
    <row r="12" spans="1:12" ht="31.5" x14ac:dyDescent="0.25">
      <c r="A12" s="5" t="s">
        <v>292</v>
      </c>
      <c r="B12" s="7" t="s">
        <v>89</v>
      </c>
      <c r="C12" s="7"/>
      <c r="D12" s="6">
        <f>D13+D16+D21+D33</f>
        <v>87344.1</v>
      </c>
      <c r="E12" s="6">
        <f>E13+E16+E21+E33</f>
        <v>1468</v>
      </c>
      <c r="F12" s="15">
        <f>F13+F16+F21+F33+F36</f>
        <v>88912.1</v>
      </c>
      <c r="G12" s="15">
        <f>G13+G16+G21+G33+G36</f>
        <v>2094.8200000000002</v>
      </c>
      <c r="H12" s="15">
        <f t="shared" ref="H12:J12" si="0">H13+H16+H21+H33+H36</f>
        <v>0</v>
      </c>
      <c r="I12" s="15">
        <f>I13+I16+I21+I33+I36</f>
        <v>1248.6999999999998</v>
      </c>
      <c r="J12" s="15">
        <f t="shared" si="0"/>
        <v>92255.62000000001</v>
      </c>
      <c r="K12" s="15">
        <f t="shared" ref="K12:L12" si="1">K13+K16+K21+K33+K36</f>
        <v>97165.699999999983</v>
      </c>
      <c r="L12" s="15">
        <f t="shared" si="1"/>
        <v>92178.089999999982</v>
      </c>
    </row>
    <row r="13" spans="1:12" ht="66" customHeight="1" x14ac:dyDescent="0.25">
      <c r="A13" s="21" t="s">
        <v>177</v>
      </c>
      <c r="B13" s="22" t="s">
        <v>90</v>
      </c>
      <c r="C13" s="22"/>
      <c r="D13" s="23">
        <f t="shared" ref="D13:L14" si="2">D14</f>
        <v>1620</v>
      </c>
      <c r="E13" s="23">
        <f t="shared" si="2"/>
        <v>0</v>
      </c>
      <c r="F13" s="28">
        <f t="shared" si="2"/>
        <v>1620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1620</v>
      </c>
      <c r="K13" s="28">
        <f t="shared" si="2"/>
        <v>1620</v>
      </c>
      <c r="L13" s="28">
        <f t="shared" si="2"/>
        <v>1415.59</v>
      </c>
    </row>
    <row r="14" spans="1:12" ht="33.75" customHeight="1" x14ac:dyDescent="0.25">
      <c r="A14" s="10" t="s">
        <v>332</v>
      </c>
      <c r="B14" s="11" t="s">
        <v>90</v>
      </c>
      <c r="C14" s="11"/>
      <c r="D14" s="4">
        <f t="shared" si="2"/>
        <v>1620</v>
      </c>
      <c r="E14" s="4">
        <f t="shared" si="2"/>
        <v>0</v>
      </c>
      <c r="F14" s="16">
        <f t="shared" si="2"/>
        <v>1620</v>
      </c>
      <c r="G14" s="16">
        <f>G15</f>
        <v>0</v>
      </c>
      <c r="H14" s="16">
        <f t="shared" si="2"/>
        <v>0</v>
      </c>
      <c r="I14" s="16">
        <f t="shared" si="2"/>
        <v>0</v>
      </c>
      <c r="J14" s="16">
        <f t="shared" si="2"/>
        <v>1620</v>
      </c>
      <c r="K14" s="16">
        <f t="shared" si="2"/>
        <v>1620</v>
      </c>
      <c r="L14" s="16">
        <f t="shared" si="2"/>
        <v>1415.59</v>
      </c>
    </row>
    <row r="15" spans="1:12" ht="81.75" customHeight="1" x14ac:dyDescent="0.25">
      <c r="A15" s="10" t="s">
        <v>31</v>
      </c>
      <c r="B15" s="11" t="s">
        <v>90</v>
      </c>
      <c r="C15" s="11" t="s">
        <v>32</v>
      </c>
      <c r="D15" s="4">
        <v>1620</v>
      </c>
      <c r="E15" s="4"/>
      <c r="F15" s="16">
        <f>D15+E15</f>
        <v>1620</v>
      </c>
      <c r="G15" s="16"/>
      <c r="H15" s="16"/>
      <c r="I15" s="16"/>
      <c r="J15" s="16">
        <f>F15+G15+H15+I15</f>
        <v>1620</v>
      </c>
      <c r="K15" s="16">
        <v>1620</v>
      </c>
      <c r="L15" s="16">
        <v>1415.59</v>
      </c>
    </row>
    <row r="16" spans="1:12" ht="49.5" customHeight="1" x14ac:dyDescent="0.25">
      <c r="A16" s="21" t="s">
        <v>333</v>
      </c>
      <c r="B16" s="22" t="s">
        <v>92</v>
      </c>
      <c r="C16" s="22"/>
      <c r="D16" s="23">
        <f t="shared" ref="D16:L16" si="3">D17</f>
        <v>55770.1</v>
      </c>
      <c r="E16" s="23">
        <f t="shared" si="3"/>
        <v>0</v>
      </c>
      <c r="F16" s="28">
        <f>F17</f>
        <v>55770.1</v>
      </c>
      <c r="G16" s="28">
        <f t="shared" si="3"/>
        <v>1555.19</v>
      </c>
      <c r="H16" s="28">
        <f t="shared" si="3"/>
        <v>0</v>
      </c>
      <c r="I16" s="28">
        <f>I17</f>
        <v>422.81999999999994</v>
      </c>
      <c r="J16" s="28">
        <f t="shared" si="3"/>
        <v>57748.11</v>
      </c>
      <c r="K16" s="28">
        <f>K17</f>
        <v>60110.429999999993</v>
      </c>
      <c r="L16" s="28">
        <f t="shared" si="3"/>
        <v>56663.53</v>
      </c>
    </row>
    <row r="17" spans="1:12" ht="36" customHeight="1" x14ac:dyDescent="0.25">
      <c r="A17" s="10" t="s">
        <v>91</v>
      </c>
      <c r="B17" s="11" t="s">
        <v>92</v>
      </c>
      <c r="C17" s="11"/>
      <c r="D17" s="4">
        <f>D18+D20</f>
        <v>55770.1</v>
      </c>
      <c r="E17" s="4">
        <f>E18+E20</f>
        <v>0</v>
      </c>
      <c r="F17" s="16">
        <f>F18+F19+F20</f>
        <v>55770.1</v>
      </c>
      <c r="G17" s="16">
        <f t="shared" ref="G17:J17" si="4">G18+G19+G20</f>
        <v>1555.19</v>
      </c>
      <c r="H17" s="16">
        <f t="shared" si="4"/>
        <v>0</v>
      </c>
      <c r="I17" s="16">
        <f>I18+I19+I20</f>
        <v>422.81999999999994</v>
      </c>
      <c r="J17" s="16">
        <f t="shared" si="4"/>
        <v>57748.11</v>
      </c>
      <c r="K17" s="16">
        <f>K18+K19+K20</f>
        <v>60110.429999999993</v>
      </c>
      <c r="L17" s="16">
        <f t="shared" ref="L17" si="5">L18+L19+L20</f>
        <v>56663.53</v>
      </c>
    </row>
    <row r="18" spans="1:12" ht="80.25" customHeight="1" x14ac:dyDescent="0.25">
      <c r="A18" s="10" t="s">
        <v>31</v>
      </c>
      <c r="B18" s="11" t="s">
        <v>92</v>
      </c>
      <c r="C18" s="11" t="s">
        <v>32</v>
      </c>
      <c r="D18" s="4">
        <v>50530.13</v>
      </c>
      <c r="E18" s="4"/>
      <c r="F18" s="16">
        <f>D18+E18</f>
        <v>50530.13</v>
      </c>
      <c r="G18" s="16"/>
      <c r="H18" s="16"/>
      <c r="I18" s="16">
        <v>-150</v>
      </c>
      <c r="J18" s="16">
        <f>F18+I18</f>
        <v>50380.13</v>
      </c>
      <c r="K18" s="16">
        <v>49736.7</v>
      </c>
      <c r="L18" s="16">
        <v>48423.71</v>
      </c>
    </row>
    <row r="19" spans="1:12" ht="30.75" customHeight="1" x14ac:dyDescent="0.25">
      <c r="A19" s="10" t="s">
        <v>33</v>
      </c>
      <c r="B19" s="11" t="s">
        <v>92</v>
      </c>
      <c r="C19" s="11" t="s">
        <v>34</v>
      </c>
      <c r="D19" s="4">
        <v>5239.97</v>
      </c>
      <c r="E19" s="4"/>
      <c r="F19" s="16">
        <f>D19+E19</f>
        <v>5239.97</v>
      </c>
      <c r="G19" s="16">
        <v>1555.19</v>
      </c>
      <c r="H19" s="16"/>
      <c r="I19" s="16">
        <v>-134.47</v>
      </c>
      <c r="J19" s="16">
        <f>F19+G19+I19</f>
        <v>6660.69</v>
      </c>
      <c r="K19" s="16">
        <v>9647.14</v>
      </c>
      <c r="L19" s="16">
        <v>7562.32</v>
      </c>
    </row>
    <row r="20" spans="1:12" ht="18.75" customHeight="1" x14ac:dyDescent="0.25">
      <c r="A20" s="10" t="s">
        <v>217</v>
      </c>
      <c r="B20" s="11" t="s">
        <v>92</v>
      </c>
      <c r="C20" s="11" t="s">
        <v>50</v>
      </c>
      <c r="D20" s="4">
        <v>5239.97</v>
      </c>
      <c r="E20" s="4"/>
      <c r="F20" s="16"/>
      <c r="G20" s="16"/>
      <c r="H20" s="16"/>
      <c r="I20" s="16">
        <v>707.29</v>
      </c>
      <c r="J20" s="16">
        <f>F20+G20+I20</f>
        <v>707.29</v>
      </c>
      <c r="K20" s="16">
        <v>726.59</v>
      </c>
      <c r="L20" s="16">
        <v>677.5</v>
      </c>
    </row>
    <row r="21" spans="1:12" ht="48" customHeight="1" x14ac:dyDescent="0.25">
      <c r="A21" s="21" t="s">
        <v>282</v>
      </c>
      <c r="B21" s="22" t="s">
        <v>93</v>
      </c>
      <c r="C21" s="22"/>
      <c r="D21" s="23">
        <f t="shared" ref="D21:J21" si="6">D22+D26</f>
        <v>29954</v>
      </c>
      <c r="E21" s="23">
        <f t="shared" si="6"/>
        <v>1468</v>
      </c>
      <c r="F21" s="28">
        <f t="shared" si="6"/>
        <v>31422</v>
      </c>
      <c r="G21" s="28">
        <f t="shared" si="6"/>
        <v>0</v>
      </c>
      <c r="H21" s="28">
        <f t="shared" si="6"/>
        <v>0</v>
      </c>
      <c r="I21" s="28">
        <f>I22+I26</f>
        <v>725.93999999999994</v>
      </c>
      <c r="J21" s="28">
        <f t="shared" si="6"/>
        <v>32147.94</v>
      </c>
      <c r="K21" s="28">
        <f t="shared" ref="K21:L21" si="7">K22+K26</f>
        <v>32139.739999999998</v>
      </c>
      <c r="L21" s="28">
        <f t="shared" si="7"/>
        <v>32082.15</v>
      </c>
    </row>
    <row r="22" spans="1:12" ht="47.25" customHeight="1" x14ac:dyDescent="0.25">
      <c r="A22" s="21" t="s">
        <v>334</v>
      </c>
      <c r="B22" s="22" t="s">
        <v>197</v>
      </c>
      <c r="C22" s="22"/>
      <c r="D22" s="23">
        <f t="shared" ref="D22:J22" si="8">D23+D24+D25</f>
        <v>20178</v>
      </c>
      <c r="E22" s="23">
        <f t="shared" si="8"/>
        <v>0</v>
      </c>
      <c r="F22" s="28">
        <f t="shared" si="8"/>
        <v>20178</v>
      </c>
      <c r="G22" s="28">
        <f t="shared" si="8"/>
        <v>0</v>
      </c>
      <c r="H22" s="28">
        <f t="shared" si="8"/>
        <v>0</v>
      </c>
      <c r="I22" s="28">
        <f>I23+I24+I25</f>
        <v>725.93999999999994</v>
      </c>
      <c r="J22" s="28">
        <f t="shared" si="8"/>
        <v>20903.939999999999</v>
      </c>
      <c r="K22" s="28">
        <f>K23+K24+K25</f>
        <v>20895.739999999998</v>
      </c>
      <c r="L22" s="28">
        <f t="shared" ref="L22" si="9">L23+L24+L25</f>
        <v>20866.8</v>
      </c>
    </row>
    <row r="23" spans="1:12" ht="87" customHeight="1" x14ac:dyDescent="0.25">
      <c r="A23" s="10" t="s">
        <v>31</v>
      </c>
      <c r="B23" s="11" t="s">
        <v>197</v>
      </c>
      <c r="C23" s="11" t="s">
        <v>32</v>
      </c>
      <c r="D23" s="4">
        <v>15585.2</v>
      </c>
      <c r="E23" s="4"/>
      <c r="F23" s="16">
        <f>D23+E23</f>
        <v>15585.2</v>
      </c>
      <c r="G23" s="16"/>
      <c r="H23" s="16"/>
      <c r="I23" s="16">
        <f>-109.65+199.02</f>
        <v>89.37</v>
      </c>
      <c r="J23" s="16">
        <f>F23+I23</f>
        <v>15674.570000000002</v>
      </c>
      <c r="K23" s="16">
        <v>16330.57</v>
      </c>
      <c r="L23" s="16">
        <v>16330.57</v>
      </c>
    </row>
    <row r="24" spans="1:12" ht="31.5" customHeight="1" x14ac:dyDescent="0.25">
      <c r="A24" s="10" t="s">
        <v>33</v>
      </c>
      <c r="B24" s="11" t="s">
        <v>197</v>
      </c>
      <c r="C24" s="11" t="s">
        <v>34</v>
      </c>
      <c r="D24" s="4">
        <v>4555.8</v>
      </c>
      <c r="E24" s="4"/>
      <c r="F24" s="16">
        <f>D24+E24</f>
        <v>4555.8</v>
      </c>
      <c r="G24" s="16"/>
      <c r="H24" s="16"/>
      <c r="I24" s="16">
        <f>169.43+488.38</f>
        <v>657.81</v>
      </c>
      <c r="J24" s="16">
        <f t="shared" ref="J24:J25" si="10">F24+I24</f>
        <v>5213.6100000000006</v>
      </c>
      <c r="K24" s="16">
        <v>4543.17</v>
      </c>
      <c r="L24" s="16">
        <v>4514.24</v>
      </c>
    </row>
    <row r="25" spans="1:12" ht="20.25" customHeight="1" x14ac:dyDescent="0.25">
      <c r="A25" s="10" t="s">
        <v>217</v>
      </c>
      <c r="B25" s="11" t="s">
        <v>197</v>
      </c>
      <c r="C25" s="11" t="s">
        <v>50</v>
      </c>
      <c r="D25" s="4">
        <v>37</v>
      </c>
      <c r="E25" s="4"/>
      <c r="F25" s="16">
        <f>D25+E25</f>
        <v>37</v>
      </c>
      <c r="G25" s="16"/>
      <c r="H25" s="16"/>
      <c r="I25" s="16">
        <v>-21.24</v>
      </c>
      <c r="J25" s="16">
        <f t="shared" si="10"/>
        <v>15.760000000000002</v>
      </c>
      <c r="K25" s="16">
        <v>22</v>
      </c>
      <c r="L25" s="16">
        <v>21.99</v>
      </c>
    </row>
    <row r="26" spans="1:12" ht="32.25" customHeight="1" x14ac:dyDescent="0.25">
      <c r="A26" s="21" t="s">
        <v>335</v>
      </c>
      <c r="B26" s="22" t="s">
        <v>93</v>
      </c>
      <c r="C26" s="22"/>
      <c r="D26" s="23">
        <f t="shared" ref="D26:I26" si="11">D27+D31</f>
        <v>9776</v>
      </c>
      <c r="E26" s="23">
        <f t="shared" si="11"/>
        <v>1468</v>
      </c>
      <c r="F26" s="28">
        <f t="shared" si="11"/>
        <v>11244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>J27+J31</f>
        <v>11244</v>
      </c>
      <c r="K26" s="28">
        <f>K27+K31</f>
        <v>11244</v>
      </c>
      <c r="L26" s="28">
        <f>L27+L31</f>
        <v>11215.35</v>
      </c>
    </row>
    <row r="27" spans="1:12" ht="35.25" customHeight="1" x14ac:dyDescent="0.25">
      <c r="A27" s="44" t="s">
        <v>144</v>
      </c>
      <c r="B27" s="37" t="s">
        <v>93</v>
      </c>
      <c r="C27" s="37"/>
      <c r="D27" s="36">
        <f t="shared" ref="D27:E27" si="12">D28+D30</f>
        <v>6000</v>
      </c>
      <c r="E27" s="36">
        <f t="shared" si="12"/>
        <v>1487</v>
      </c>
      <c r="F27" s="46">
        <f>F28+F29+F30</f>
        <v>7487</v>
      </c>
      <c r="G27" s="46">
        <f t="shared" ref="G27:J27" si="13">G28+G29+G30</f>
        <v>0</v>
      </c>
      <c r="H27" s="46">
        <f t="shared" si="13"/>
        <v>0</v>
      </c>
      <c r="I27" s="46">
        <f>I28+I29+I30</f>
        <v>0</v>
      </c>
      <c r="J27" s="46">
        <f t="shared" si="13"/>
        <v>7487</v>
      </c>
      <c r="K27" s="46">
        <f t="shared" ref="K27:L27" si="14">K28+K29+K30</f>
        <v>7487</v>
      </c>
      <c r="L27" s="46">
        <f t="shared" si="14"/>
        <v>7458.35</v>
      </c>
    </row>
    <row r="28" spans="1:12" ht="81.75" customHeight="1" x14ac:dyDescent="0.25">
      <c r="A28" s="10" t="s">
        <v>31</v>
      </c>
      <c r="B28" s="11" t="s">
        <v>93</v>
      </c>
      <c r="C28" s="11" t="s">
        <v>32</v>
      </c>
      <c r="D28" s="4">
        <v>5800</v>
      </c>
      <c r="E28" s="4"/>
      <c r="F28" s="16">
        <f>D28+E28</f>
        <v>5800</v>
      </c>
      <c r="G28" s="16"/>
      <c r="H28" s="16"/>
      <c r="I28" s="16">
        <v>-451.79</v>
      </c>
      <c r="J28" s="16">
        <f>F28+I28</f>
        <v>5348.21</v>
      </c>
      <c r="K28" s="16">
        <v>5628.56</v>
      </c>
      <c r="L28" s="16">
        <v>5623.38</v>
      </c>
    </row>
    <row r="29" spans="1:12" ht="29.25" customHeight="1" x14ac:dyDescent="0.25">
      <c r="A29" s="10" t="s">
        <v>33</v>
      </c>
      <c r="B29" s="11" t="s">
        <v>93</v>
      </c>
      <c r="C29" s="11" t="s">
        <v>34</v>
      </c>
      <c r="D29" s="4">
        <v>200</v>
      </c>
      <c r="E29" s="4">
        <v>1487</v>
      </c>
      <c r="F29" s="16">
        <f>D29+E29</f>
        <v>1687</v>
      </c>
      <c r="G29" s="16"/>
      <c r="H29" s="16"/>
      <c r="I29" s="16">
        <v>430.79</v>
      </c>
      <c r="J29" s="16">
        <f t="shared" ref="J29:J30" si="15">F29+I29</f>
        <v>2117.79</v>
      </c>
      <c r="K29" s="16">
        <v>1836.44</v>
      </c>
      <c r="L29" s="16">
        <v>1812.97</v>
      </c>
    </row>
    <row r="30" spans="1:12" ht="21" customHeight="1" x14ac:dyDescent="0.25">
      <c r="A30" s="10" t="s">
        <v>217</v>
      </c>
      <c r="B30" s="11" t="s">
        <v>93</v>
      </c>
      <c r="C30" s="11" t="s">
        <v>50</v>
      </c>
      <c r="D30" s="4">
        <v>200</v>
      </c>
      <c r="E30" s="4">
        <v>1487</v>
      </c>
      <c r="F30" s="16">
        <v>0</v>
      </c>
      <c r="G30" s="16"/>
      <c r="H30" s="16"/>
      <c r="I30" s="16">
        <v>21</v>
      </c>
      <c r="J30" s="16">
        <f t="shared" si="15"/>
        <v>21</v>
      </c>
      <c r="K30" s="16">
        <v>22</v>
      </c>
      <c r="L30" s="16">
        <v>22</v>
      </c>
    </row>
    <row r="31" spans="1:12" ht="66.75" customHeight="1" x14ac:dyDescent="0.25">
      <c r="A31" s="44" t="s">
        <v>336</v>
      </c>
      <c r="B31" s="37" t="s">
        <v>200</v>
      </c>
      <c r="C31" s="37"/>
      <c r="D31" s="36">
        <f t="shared" ref="D31:L31" si="16">D32</f>
        <v>3776</v>
      </c>
      <c r="E31" s="36">
        <f t="shared" si="16"/>
        <v>-19</v>
      </c>
      <c r="F31" s="46">
        <f t="shared" si="16"/>
        <v>3757</v>
      </c>
      <c r="G31" s="46">
        <f t="shared" si="16"/>
        <v>0</v>
      </c>
      <c r="H31" s="46">
        <f t="shared" si="16"/>
        <v>0</v>
      </c>
      <c r="I31" s="46">
        <f>I32</f>
        <v>0</v>
      </c>
      <c r="J31" s="46">
        <f t="shared" si="16"/>
        <v>3757</v>
      </c>
      <c r="K31" s="46">
        <f t="shared" si="16"/>
        <v>3757</v>
      </c>
      <c r="L31" s="46">
        <f t="shared" si="16"/>
        <v>3757</v>
      </c>
    </row>
    <row r="32" spans="1:12" ht="76.5" customHeight="1" x14ac:dyDescent="0.25">
      <c r="A32" s="10" t="s">
        <v>31</v>
      </c>
      <c r="B32" s="11" t="s">
        <v>201</v>
      </c>
      <c r="C32" s="11" t="s">
        <v>32</v>
      </c>
      <c r="D32" s="4">
        <v>3776</v>
      </c>
      <c r="E32" s="4">
        <v>-19</v>
      </c>
      <c r="F32" s="16">
        <f>D32+E32</f>
        <v>3757</v>
      </c>
      <c r="G32" s="16"/>
      <c r="H32" s="16"/>
      <c r="I32" s="16"/>
      <c r="J32" s="16">
        <f>F32+H32</f>
        <v>3757</v>
      </c>
      <c r="K32" s="16">
        <v>3757</v>
      </c>
      <c r="L32" s="16">
        <v>3757</v>
      </c>
    </row>
    <row r="33" spans="1:12" ht="47.25" customHeight="1" x14ac:dyDescent="0.25">
      <c r="A33" s="21" t="s">
        <v>94</v>
      </c>
      <c r="B33" s="22" t="s">
        <v>95</v>
      </c>
      <c r="C33" s="22"/>
      <c r="D33" s="23">
        <f t="shared" ref="D33:L33" si="17">D34</f>
        <v>0</v>
      </c>
      <c r="E33" s="23">
        <f t="shared" si="17"/>
        <v>0</v>
      </c>
      <c r="F33" s="28">
        <f t="shared" si="17"/>
        <v>100</v>
      </c>
      <c r="G33" s="28">
        <f t="shared" si="17"/>
        <v>0</v>
      </c>
      <c r="H33" s="28">
        <f t="shared" si="17"/>
        <v>0</v>
      </c>
      <c r="I33" s="28">
        <f>I34</f>
        <v>0</v>
      </c>
      <c r="J33" s="28">
        <f t="shared" si="17"/>
        <v>100</v>
      </c>
      <c r="K33" s="28">
        <f t="shared" si="17"/>
        <v>100</v>
      </c>
      <c r="L33" s="28">
        <f t="shared" si="17"/>
        <v>91.03</v>
      </c>
    </row>
    <row r="34" spans="1:12" ht="47.25" customHeight="1" x14ac:dyDescent="0.25">
      <c r="A34" s="10" t="s">
        <v>9</v>
      </c>
      <c r="B34" s="11" t="s">
        <v>95</v>
      </c>
      <c r="C34" s="11"/>
      <c r="D34" s="4">
        <f>D37</f>
        <v>0</v>
      </c>
      <c r="E34" s="4">
        <f>E37</f>
        <v>0</v>
      </c>
      <c r="F34" s="16">
        <f>F35</f>
        <v>100</v>
      </c>
      <c r="G34" s="16"/>
      <c r="H34" s="16"/>
      <c r="I34" s="16"/>
      <c r="J34" s="16">
        <f>J35</f>
        <v>100</v>
      </c>
      <c r="K34" s="16">
        <f>K35</f>
        <v>100</v>
      </c>
      <c r="L34" s="16">
        <f>L35</f>
        <v>91.03</v>
      </c>
    </row>
    <row r="35" spans="1:12" ht="35.450000000000003" customHeight="1" x14ac:dyDescent="0.25">
      <c r="A35" s="10" t="s">
        <v>33</v>
      </c>
      <c r="B35" s="11" t="s">
        <v>95</v>
      </c>
      <c r="C35" s="11" t="s">
        <v>34</v>
      </c>
      <c r="D35" s="4">
        <v>100</v>
      </c>
      <c r="E35" s="4"/>
      <c r="F35" s="16">
        <f>D35+E35</f>
        <v>100</v>
      </c>
      <c r="G35" s="16"/>
      <c r="H35" s="16"/>
      <c r="I35" s="16"/>
      <c r="J35" s="16">
        <f>F35+I35</f>
        <v>100</v>
      </c>
      <c r="K35" s="16">
        <v>100</v>
      </c>
      <c r="L35" s="16">
        <v>91.03</v>
      </c>
    </row>
    <row r="36" spans="1:12" s="71" customFormat="1" ht="21.75" customHeight="1" x14ac:dyDescent="0.25">
      <c r="A36" s="44" t="s">
        <v>261</v>
      </c>
      <c r="B36" s="37" t="s">
        <v>260</v>
      </c>
      <c r="C36" s="37"/>
      <c r="D36" s="36"/>
      <c r="E36" s="36"/>
      <c r="F36" s="46"/>
      <c r="G36" s="46">
        <f t="shared" ref="G36:L36" si="18">G37</f>
        <v>539.63</v>
      </c>
      <c r="H36" s="46">
        <f t="shared" si="18"/>
        <v>0</v>
      </c>
      <c r="I36" s="46">
        <f t="shared" si="18"/>
        <v>99.94</v>
      </c>
      <c r="J36" s="46">
        <f t="shared" si="18"/>
        <v>639.56999999999994</v>
      </c>
      <c r="K36" s="46">
        <f t="shared" si="18"/>
        <v>3195.53</v>
      </c>
      <c r="L36" s="46">
        <f t="shared" si="18"/>
        <v>1925.79</v>
      </c>
    </row>
    <row r="37" spans="1:12" ht="35.450000000000003" customHeight="1" x14ac:dyDescent="0.25">
      <c r="A37" s="10" t="s">
        <v>33</v>
      </c>
      <c r="B37" s="11" t="s">
        <v>260</v>
      </c>
      <c r="C37" s="11" t="s">
        <v>34</v>
      </c>
      <c r="D37" s="4"/>
      <c r="E37" s="4"/>
      <c r="F37" s="16"/>
      <c r="G37" s="16">
        <v>539.63</v>
      </c>
      <c r="H37" s="16"/>
      <c r="I37" s="16">
        <f>347.8-247.86</f>
        <v>99.94</v>
      </c>
      <c r="J37" s="16">
        <f>G37+I37</f>
        <v>639.56999999999994</v>
      </c>
      <c r="K37" s="16">
        <v>3195.53</v>
      </c>
      <c r="L37" s="16">
        <v>1925.79</v>
      </c>
    </row>
    <row r="38" spans="1:12" ht="48" customHeight="1" x14ac:dyDescent="0.25">
      <c r="A38" s="5" t="s">
        <v>291</v>
      </c>
      <c r="B38" s="7" t="s">
        <v>53</v>
      </c>
      <c r="C38" s="7"/>
      <c r="D38" s="6">
        <f t="shared" ref="D38:I38" si="19">D39+D44+D48+D54</f>
        <v>394112.17</v>
      </c>
      <c r="E38" s="6">
        <f t="shared" si="19"/>
        <v>0</v>
      </c>
      <c r="F38" s="15">
        <f t="shared" si="19"/>
        <v>394112.17</v>
      </c>
      <c r="G38" s="15">
        <f t="shared" si="19"/>
        <v>22590.920000000002</v>
      </c>
      <c r="H38" s="15">
        <f t="shared" si="19"/>
        <v>0</v>
      </c>
      <c r="I38" s="15">
        <f t="shared" si="19"/>
        <v>1325.3600000000001</v>
      </c>
      <c r="J38" s="15">
        <f>J39+J44+J48+J54+J67</f>
        <v>418028.44999999995</v>
      </c>
      <c r="K38" s="15">
        <f>K39+K44+K48+K54+K67</f>
        <v>428611.70999999996</v>
      </c>
      <c r="L38" s="15">
        <f>L39+L44+L48+L54+L67</f>
        <v>421232.58999999997</v>
      </c>
    </row>
    <row r="39" spans="1:12" ht="53.45" customHeight="1" x14ac:dyDescent="0.25">
      <c r="A39" s="21" t="s">
        <v>48</v>
      </c>
      <c r="B39" s="22" t="s">
        <v>49</v>
      </c>
      <c r="C39" s="22"/>
      <c r="D39" s="23">
        <f t="shared" ref="D39:L39" si="20">D40</f>
        <v>9321</v>
      </c>
      <c r="E39" s="23">
        <f t="shared" si="20"/>
        <v>0</v>
      </c>
      <c r="F39" s="28">
        <f t="shared" si="20"/>
        <v>9321</v>
      </c>
      <c r="G39" s="28">
        <f t="shared" si="20"/>
        <v>0</v>
      </c>
      <c r="H39" s="28">
        <f t="shared" si="20"/>
        <v>0</v>
      </c>
      <c r="I39" s="28">
        <f t="shared" si="20"/>
        <v>7.2164496600635175E-16</v>
      </c>
      <c r="J39" s="28">
        <f t="shared" si="20"/>
        <v>9321</v>
      </c>
      <c r="K39" s="28">
        <f t="shared" si="20"/>
        <v>9567.3000000000011</v>
      </c>
      <c r="L39" s="28">
        <f t="shared" si="20"/>
        <v>9485.7099999999991</v>
      </c>
    </row>
    <row r="40" spans="1:12" ht="40.700000000000003" customHeight="1" x14ac:dyDescent="0.25">
      <c r="A40" s="10" t="s">
        <v>2</v>
      </c>
      <c r="B40" s="11" t="s">
        <v>49</v>
      </c>
      <c r="C40" s="11"/>
      <c r="D40" s="4">
        <f t="shared" ref="D40:I40" si="21">D41+D42+D43</f>
        <v>9321</v>
      </c>
      <c r="E40" s="4">
        <f t="shared" si="21"/>
        <v>0</v>
      </c>
      <c r="F40" s="16">
        <f t="shared" si="21"/>
        <v>9321</v>
      </c>
      <c r="G40" s="16">
        <f t="shared" si="21"/>
        <v>0</v>
      </c>
      <c r="H40" s="16">
        <f t="shared" si="21"/>
        <v>0</v>
      </c>
      <c r="I40" s="16">
        <f t="shared" si="21"/>
        <v>7.2164496600635175E-16</v>
      </c>
      <c r="J40" s="16">
        <f>J41+J42+J43</f>
        <v>9321</v>
      </c>
      <c r="K40" s="16">
        <f>K41+K42+K43</f>
        <v>9567.3000000000011</v>
      </c>
      <c r="L40" s="16">
        <f>L41+L42+L43</f>
        <v>9485.7099999999991</v>
      </c>
    </row>
    <row r="41" spans="1:12" ht="90" customHeight="1" x14ac:dyDescent="0.25">
      <c r="A41" s="10" t="s">
        <v>31</v>
      </c>
      <c r="B41" s="11" t="s">
        <v>49</v>
      </c>
      <c r="C41" s="11" t="s">
        <v>32</v>
      </c>
      <c r="D41" s="4">
        <v>7980.14</v>
      </c>
      <c r="E41" s="4"/>
      <c r="F41" s="16">
        <f>D41+E41</f>
        <v>7980.14</v>
      </c>
      <c r="G41" s="16"/>
      <c r="H41" s="16"/>
      <c r="I41" s="16">
        <v>-11.27</v>
      </c>
      <c r="J41" s="16">
        <f>F41+I41</f>
        <v>7968.87</v>
      </c>
      <c r="K41" s="16">
        <v>8216.27</v>
      </c>
      <c r="L41" s="16">
        <v>8134.91</v>
      </c>
    </row>
    <row r="42" spans="1:12" ht="42.75" customHeight="1" x14ac:dyDescent="0.25">
      <c r="A42" s="10" t="s">
        <v>33</v>
      </c>
      <c r="B42" s="11" t="s">
        <v>49</v>
      </c>
      <c r="C42" s="11" t="s">
        <v>34</v>
      </c>
      <c r="D42" s="4">
        <v>1337.86</v>
      </c>
      <c r="E42" s="4"/>
      <c r="F42" s="16">
        <f>D42+E42</f>
        <v>1337.86</v>
      </c>
      <c r="G42" s="16"/>
      <c r="H42" s="16"/>
      <c r="I42" s="16">
        <v>10.82</v>
      </c>
      <c r="J42" s="16">
        <f t="shared" ref="J42:J43" si="22">F42+I42</f>
        <v>1348.6799999999998</v>
      </c>
      <c r="K42" s="16">
        <v>1347</v>
      </c>
      <c r="L42" s="16">
        <v>1346.82</v>
      </c>
    </row>
    <row r="43" spans="1:12" ht="24" customHeight="1" x14ac:dyDescent="0.25">
      <c r="A43" s="10" t="s">
        <v>217</v>
      </c>
      <c r="B43" s="11" t="s">
        <v>49</v>
      </c>
      <c r="C43" s="11" t="s">
        <v>50</v>
      </c>
      <c r="D43" s="4">
        <v>3</v>
      </c>
      <c r="E43" s="4"/>
      <c r="F43" s="16">
        <f>D43+E43</f>
        <v>3</v>
      </c>
      <c r="G43" s="16"/>
      <c r="H43" s="16"/>
      <c r="I43" s="16">
        <v>0.45</v>
      </c>
      <c r="J43" s="16">
        <f t="shared" si="22"/>
        <v>3.45</v>
      </c>
      <c r="K43" s="16">
        <v>4.03</v>
      </c>
      <c r="L43" s="16">
        <v>3.98</v>
      </c>
    </row>
    <row r="44" spans="1:12" ht="63" x14ac:dyDescent="0.25">
      <c r="A44" s="21" t="s">
        <v>193</v>
      </c>
      <c r="B44" s="22" t="s">
        <v>51</v>
      </c>
      <c r="C44" s="22"/>
      <c r="D44" s="23">
        <f t="shared" ref="D44:L44" si="23">D45</f>
        <v>315</v>
      </c>
      <c r="E44" s="23">
        <f t="shared" si="23"/>
        <v>0</v>
      </c>
      <c r="F44" s="28">
        <f t="shared" si="23"/>
        <v>315</v>
      </c>
      <c r="G44" s="28">
        <f>G45</f>
        <v>0</v>
      </c>
      <c r="H44" s="28">
        <f t="shared" si="23"/>
        <v>0</v>
      </c>
      <c r="I44" s="28">
        <f t="shared" si="23"/>
        <v>0</v>
      </c>
      <c r="J44" s="28">
        <f t="shared" si="23"/>
        <v>315</v>
      </c>
      <c r="K44" s="28">
        <f t="shared" si="23"/>
        <v>355</v>
      </c>
      <c r="L44" s="28">
        <f t="shared" si="23"/>
        <v>355</v>
      </c>
    </row>
    <row r="45" spans="1:12" ht="23.25" customHeight="1" x14ac:dyDescent="0.25">
      <c r="A45" s="10" t="s">
        <v>52</v>
      </c>
      <c r="B45" s="11" t="s">
        <v>51</v>
      </c>
      <c r="C45" s="11"/>
      <c r="D45" s="4">
        <f>D47</f>
        <v>315</v>
      </c>
      <c r="E45" s="4">
        <f>E47</f>
        <v>0</v>
      </c>
      <c r="F45" s="16">
        <f>F46+F47</f>
        <v>315</v>
      </c>
      <c r="G45" s="16">
        <f t="shared" ref="G45:J45" si="24">G46+G47</f>
        <v>0</v>
      </c>
      <c r="H45" s="16">
        <f t="shared" si="24"/>
        <v>0</v>
      </c>
      <c r="I45" s="16">
        <f t="shared" si="24"/>
        <v>0</v>
      </c>
      <c r="J45" s="16">
        <f t="shared" si="24"/>
        <v>315</v>
      </c>
      <c r="K45" s="16">
        <f t="shared" ref="K45:L45" si="25">K46+K47</f>
        <v>355</v>
      </c>
      <c r="L45" s="16">
        <f t="shared" si="25"/>
        <v>355</v>
      </c>
    </row>
    <row r="46" spans="1:12" ht="39.75" customHeight="1" x14ac:dyDescent="0.25">
      <c r="A46" s="10" t="s">
        <v>33</v>
      </c>
      <c r="B46" s="11" t="s">
        <v>51</v>
      </c>
      <c r="C46" s="11" t="s">
        <v>34</v>
      </c>
      <c r="D46" s="4">
        <v>315</v>
      </c>
      <c r="E46" s="4"/>
      <c r="F46" s="16">
        <f>D46+E46</f>
        <v>315</v>
      </c>
      <c r="G46" s="16"/>
      <c r="H46" s="16"/>
      <c r="I46" s="16">
        <v>-31</v>
      </c>
      <c r="J46" s="16">
        <f>F46+I46</f>
        <v>284</v>
      </c>
      <c r="K46" s="16">
        <v>263.10000000000002</v>
      </c>
      <c r="L46" s="16">
        <v>263.10000000000002</v>
      </c>
    </row>
    <row r="47" spans="1:12" ht="30.75" customHeight="1" x14ac:dyDescent="0.25">
      <c r="A47" s="10" t="s">
        <v>65</v>
      </c>
      <c r="B47" s="11" t="s">
        <v>51</v>
      </c>
      <c r="C47" s="11" t="s">
        <v>67</v>
      </c>
      <c r="D47" s="4">
        <v>315</v>
      </c>
      <c r="E47" s="4"/>
      <c r="F47" s="16"/>
      <c r="G47" s="16"/>
      <c r="H47" s="16"/>
      <c r="I47" s="16">
        <v>31</v>
      </c>
      <c r="J47" s="16">
        <f>F47+I47</f>
        <v>31</v>
      </c>
      <c r="K47" s="16">
        <v>91.9</v>
      </c>
      <c r="L47" s="16">
        <v>91.9</v>
      </c>
    </row>
    <row r="48" spans="1:12" ht="37.5" customHeight="1" x14ac:dyDescent="0.25">
      <c r="A48" s="24" t="s">
        <v>5</v>
      </c>
      <c r="B48" s="25" t="s">
        <v>29</v>
      </c>
      <c r="C48" s="25"/>
      <c r="D48" s="26">
        <f t="shared" ref="D48:I48" si="26">D49</f>
        <v>141827.45000000001</v>
      </c>
      <c r="E48" s="26">
        <f t="shared" si="26"/>
        <v>0</v>
      </c>
      <c r="F48" s="27">
        <f t="shared" si="26"/>
        <v>141827.45000000001</v>
      </c>
      <c r="G48" s="27">
        <f t="shared" si="26"/>
        <v>0</v>
      </c>
      <c r="H48" s="27">
        <f t="shared" si="26"/>
        <v>0</v>
      </c>
      <c r="I48" s="27">
        <f t="shared" si="26"/>
        <v>402.66</v>
      </c>
      <c r="J48" s="27">
        <f>J49+J52</f>
        <v>142230.10999999999</v>
      </c>
      <c r="K48" s="27">
        <f>K49+K52</f>
        <v>145454.95000000001</v>
      </c>
      <c r="L48" s="27">
        <f>L49+L52</f>
        <v>143831.69</v>
      </c>
    </row>
    <row r="49" spans="1:12" ht="72" customHeight="1" x14ac:dyDescent="0.25">
      <c r="A49" s="21" t="s">
        <v>180</v>
      </c>
      <c r="B49" s="22" t="s">
        <v>28</v>
      </c>
      <c r="C49" s="22"/>
      <c r="D49" s="23">
        <f t="shared" ref="D49:I49" si="27">D51+D52</f>
        <v>141827.45000000001</v>
      </c>
      <c r="E49" s="23">
        <f t="shared" si="27"/>
        <v>0</v>
      </c>
      <c r="F49" s="28">
        <f>F51+F52</f>
        <v>141827.45000000001</v>
      </c>
      <c r="G49" s="28">
        <f t="shared" si="27"/>
        <v>0</v>
      </c>
      <c r="H49" s="28">
        <f t="shared" si="27"/>
        <v>0</v>
      </c>
      <c r="I49" s="28">
        <f t="shared" si="27"/>
        <v>402.66</v>
      </c>
      <c r="J49" s="28">
        <f>J50+J51</f>
        <v>49709.990000000005</v>
      </c>
      <c r="K49" s="28">
        <f>K50+K51</f>
        <v>51652.639999999999</v>
      </c>
      <c r="L49" s="28">
        <f>L50+L51</f>
        <v>50029.38</v>
      </c>
    </row>
    <row r="50" spans="1:12" ht="39.75" customHeight="1" x14ac:dyDescent="0.25">
      <c r="A50" s="10" t="s">
        <v>33</v>
      </c>
      <c r="B50" s="11" t="s">
        <v>28</v>
      </c>
      <c r="C50" s="11" t="s">
        <v>34</v>
      </c>
      <c r="D50" s="4">
        <v>49307.33</v>
      </c>
      <c r="E50" s="4"/>
      <c r="F50" s="16">
        <f>D50+E50</f>
        <v>49307.33</v>
      </c>
      <c r="G50" s="16"/>
      <c r="H50" s="16"/>
      <c r="I50" s="16">
        <f>402.66+70-70</f>
        <v>402.66</v>
      </c>
      <c r="J50" s="16">
        <v>0</v>
      </c>
      <c r="K50" s="16">
        <v>2631.61</v>
      </c>
      <c r="L50" s="16">
        <v>1077.45</v>
      </c>
    </row>
    <row r="51" spans="1:12" ht="39.75" customHeight="1" x14ac:dyDescent="0.25">
      <c r="A51" s="10" t="s">
        <v>337</v>
      </c>
      <c r="B51" s="11" t="s">
        <v>28</v>
      </c>
      <c r="C51" s="11" t="s">
        <v>27</v>
      </c>
      <c r="D51" s="4">
        <v>49307.33</v>
      </c>
      <c r="E51" s="4"/>
      <c r="F51" s="16">
        <f>D51+E51</f>
        <v>49307.33</v>
      </c>
      <c r="G51" s="16"/>
      <c r="H51" s="16"/>
      <c r="I51" s="16">
        <f>402.66+70-70</f>
        <v>402.66</v>
      </c>
      <c r="J51" s="16">
        <f>F51+I51</f>
        <v>49709.990000000005</v>
      </c>
      <c r="K51" s="16">
        <v>49021.03</v>
      </c>
      <c r="L51" s="16">
        <v>48951.93</v>
      </c>
    </row>
    <row r="52" spans="1:12" ht="82.5" customHeight="1" x14ac:dyDescent="0.25">
      <c r="A52" s="47" t="s">
        <v>37</v>
      </c>
      <c r="B52" s="37" t="s">
        <v>23</v>
      </c>
      <c r="C52" s="37"/>
      <c r="D52" s="36">
        <f t="shared" ref="D52:L52" si="28">D53</f>
        <v>92520.12</v>
      </c>
      <c r="E52" s="36">
        <f t="shared" si="28"/>
        <v>0</v>
      </c>
      <c r="F52" s="46">
        <f t="shared" si="28"/>
        <v>92520.12</v>
      </c>
      <c r="G52" s="46">
        <f t="shared" si="28"/>
        <v>0</v>
      </c>
      <c r="H52" s="46">
        <f t="shared" si="28"/>
        <v>0</v>
      </c>
      <c r="I52" s="46">
        <f t="shared" si="28"/>
        <v>0</v>
      </c>
      <c r="J52" s="46">
        <f t="shared" si="28"/>
        <v>92520.12</v>
      </c>
      <c r="K52" s="46">
        <f t="shared" si="28"/>
        <v>93802.31</v>
      </c>
      <c r="L52" s="46">
        <f t="shared" si="28"/>
        <v>93802.31</v>
      </c>
    </row>
    <row r="53" spans="1:12" ht="39.75" customHeight="1" x14ac:dyDescent="0.25">
      <c r="A53" s="12" t="s">
        <v>337</v>
      </c>
      <c r="B53" s="11" t="s">
        <v>23</v>
      </c>
      <c r="C53" s="11" t="s">
        <v>27</v>
      </c>
      <c r="D53" s="4">
        <v>92520.12</v>
      </c>
      <c r="E53" s="4"/>
      <c r="F53" s="16">
        <f>D53+E53</f>
        <v>92520.12</v>
      </c>
      <c r="G53" s="16"/>
      <c r="H53" s="16"/>
      <c r="I53" s="16"/>
      <c r="J53" s="16">
        <f>F53+I53</f>
        <v>92520.12</v>
      </c>
      <c r="K53" s="16">
        <v>93802.31</v>
      </c>
      <c r="L53" s="16">
        <v>93802.31</v>
      </c>
    </row>
    <row r="54" spans="1:12" ht="15.75" x14ac:dyDescent="0.25">
      <c r="A54" s="24" t="s">
        <v>6</v>
      </c>
      <c r="B54" s="25" t="s">
        <v>39</v>
      </c>
      <c r="C54" s="25"/>
      <c r="D54" s="26">
        <f t="shared" ref="D54:I54" si="29">D55+D68</f>
        <v>242648.71999999997</v>
      </c>
      <c r="E54" s="26">
        <f t="shared" si="29"/>
        <v>0</v>
      </c>
      <c r="F54" s="27">
        <f t="shared" si="29"/>
        <v>242648.71999999997</v>
      </c>
      <c r="G54" s="27">
        <f t="shared" si="29"/>
        <v>22590.920000000002</v>
      </c>
      <c r="H54" s="27">
        <f t="shared" si="29"/>
        <v>0</v>
      </c>
      <c r="I54" s="27">
        <f t="shared" si="29"/>
        <v>922.7</v>
      </c>
      <c r="J54" s="27">
        <f>J55</f>
        <v>207674.41999999998</v>
      </c>
      <c r="K54" s="27">
        <f>K55</f>
        <v>212496.27999999997</v>
      </c>
      <c r="L54" s="27">
        <f>L55</f>
        <v>212052.19</v>
      </c>
    </row>
    <row r="55" spans="1:12" ht="96.75" customHeight="1" x14ac:dyDescent="0.25">
      <c r="A55" s="21" t="s">
        <v>38</v>
      </c>
      <c r="B55" s="22" t="s">
        <v>41</v>
      </c>
      <c r="C55" s="22"/>
      <c r="D55" s="23">
        <f t="shared" ref="D55:I55" si="30">D56+D58+D61+D63+D65</f>
        <v>207559.71999999997</v>
      </c>
      <c r="E55" s="23">
        <f t="shared" si="30"/>
        <v>0</v>
      </c>
      <c r="F55" s="28">
        <f t="shared" si="30"/>
        <v>207559.71999999997</v>
      </c>
      <c r="G55" s="28">
        <f t="shared" si="30"/>
        <v>114.7</v>
      </c>
      <c r="H55" s="28">
        <f t="shared" si="30"/>
        <v>0</v>
      </c>
      <c r="I55" s="28">
        <f t="shared" si="30"/>
        <v>0</v>
      </c>
      <c r="J55" s="28">
        <f>J56+J58+J61+J63+J65</f>
        <v>207674.41999999998</v>
      </c>
      <c r="K55" s="28">
        <f>K56+K58+K61+K63+K65</f>
        <v>212496.27999999997</v>
      </c>
      <c r="L55" s="28">
        <f>L56+L58+L61+L63+L65</f>
        <v>212052.19</v>
      </c>
    </row>
    <row r="56" spans="1:12" ht="49.5" customHeight="1" x14ac:dyDescent="0.25">
      <c r="A56" s="44" t="s">
        <v>40</v>
      </c>
      <c r="B56" s="37" t="s">
        <v>42</v>
      </c>
      <c r="C56" s="37"/>
      <c r="D56" s="36">
        <f t="shared" ref="D56:L56" si="31">D57</f>
        <v>135699.57</v>
      </c>
      <c r="E56" s="36">
        <f t="shared" si="31"/>
        <v>0</v>
      </c>
      <c r="F56" s="46">
        <f t="shared" si="31"/>
        <v>135699.57</v>
      </c>
      <c r="G56" s="46">
        <f t="shared" si="31"/>
        <v>0</v>
      </c>
      <c r="H56" s="46">
        <f t="shared" si="31"/>
        <v>0</v>
      </c>
      <c r="I56" s="46">
        <f t="shared" si="31"/>
        <v>0</v>
      </c>
      <c r="J56" s="46">
        <f t="shared" si="31"/>
        <v>135699.57</v>
      </c>
      <c r="K56" s="46">
        <f t="shared" si="31"/>
        <v>138495.43</v>
      </c>
      <c r="L56" s="46">
        <f t="shared" si="31"/>
        <v>138495.43</v>
      </c>
    </row>
    <row r="57" spans="1:12" ht="33.75" customHeight="1" x14ac:dyDescent="0.25">
      <c r="A57" s="10" t="s">
        <v>337</v>
      </c>
      <c r="B57" s="11" t="s">
        <v>42</v>
      </c>
      <c r="C57" s="11" t="s">
        <v>27</v>
      </c>
      <c r="D57" s="4">
        <v>135699.57</v>
      </c>
      <c r="E57" s="4"/>
      <c r="F57" s="16">
        <f>D57+E57</f>
        <v>135699.57</v>
      </c>
      <c r="G57" s="16"/>
      <c r="H57" s="16"/>
      <c r="I57" s="16"/>
      <c r="J57" s="16">
        <f>F57+H57</f>
        <v>135699.57</v>
      </c>
      <c r="K57" s="16">
        <v>138495.43</v>
      </c>
      <c r="L57" s="16">
        <v>138495.43</v>
      </c>
    </row>
    <row r="58" spans="1:12" ht="49.5" customHeight="1" x14ac:dyDescent="0.25">
      <c r="A58" s="44" t="s">
        <v>189</v>
      </c>
      <c r="B58" s="37" t="s">
        <v>43</v>
      </c>
      <c r="C58" s="37"/>
      <c r="D58" s="36">
        <f t="shared" ref="D58:I58" si="32">D60</f>
        <v>65150.8</v>
      </c>
      <c r="E58" s="36">
        <f t="shared" si="32"/>
        <v>0</v>
      </c>
      <c r="F58" s="46">
        <f t="shared" si="32"/>
        <v>65150.8</v>
      </c>
      <c r="G58" s="46">
        <f t="shared" si="32"/>
        <v>114.7</v>
      </c>
      <c r="H58" s="46">
        <f t="shared" si="32"/>
        <v>0</v>
      </c>
      <c r="I58" s="46">
        <f t="shared" si="32"/>
        <v>0</v>
      </c>
      <c r="J58" s="46">
        <f>J59+J60</f>
        <v>65265.5</v>
      </c>
      <c r="K58" s="46">
        <f>K59+K60</f>
        <v>67291.5</v>
      </c>
      <c r="L58" s="46">
        <f>L59+L60</f>
        <v>66847.64</v>
      </c>
    </row>
    <row r="59" spans="1:12" ht="35.25" customHeight="1" x14ac:dyDescent="0.25">
      <c r="A59" s="10" t="s">
        <v>33</v>
      </c>
      <c r="B59" s="11" t="s">
        <v>43</v>
      </c>
      <c r="C59" s="11" t="s">
        <v>34</v>
      </c>
      <c r="D59" s="4">
        <v>65150.8</v>
      </c>
      <c r="E59" s="4"/>
      <c r="F59" s="16">
        <f>D59+E59</f>
        <v>65150.8</v>
      </c>
      <c r="G59" s="16">
        <v>114.7</v>
      </c>
      <c r="H59" s="16"/>
      <c r="I59" s="16">
        <f>101.76-71.76-30</f>
        <v>0</v>
      </c>
      <c r="J59" s="16">
        <v>0</v>
      </c>
      <c r="K59" s="16">
        <v>2242.46</v>
      </c>
      <c r="L59" s="16">
        <v>2194.7399999999998</v>
      </c>
    </row>
    <row r="60" spans="1:12" ht="35.25" customHeight="1" x14ac:dyDescent="0.25">
      <c r="A60" s="10" t="s">
        <v>337</v>
      </c>
      <c r="B60" s="11" t="s">
        <v>43</v>
      </c>
      <c r="C60" s="11" t="s">
        <v>27</v>
      </c>
      <c r="D60" s="4">
        <v>65150.8</v>
      </c>
      <c r="E60" s="4"/>
      <c r="F60" s="16">
        <f>D60+E60</f>
        <v>65150.8</v>
      </c>
      <c r="G60" s="16">
        <v>114.7</v>
      </c>
      <c r="H60" s="16"/>
      <c r="I60" s="16">
        <f>101.76-71.76-30</f>
        <v>0</v>
      </c>
      <c r="J60" s="16">
        <f>F60+G60+I60</f>
        <v>65265.5</v>
      </c>
      <c r="K60" s="16">
        <v>65049.04</v>
      </c>
      <c r="L60" s="16">
        <v>64652.9</v>
      </c>
    </row>
    <row r="61" spans="1:12" ht="37.5" customHeight="1" x14ac:dyDescent="0.25">
      <c r="A61" s="44" t="s">
        <v>324</v>
      </c>
      <c r="B61" s="37" t="s">
        <v>44</v>
      </c>
      <c r="C61" s="37"/>
      <c r="D61" s="36">
        <f t="shared" ref="D61:L61" si="33">D62</f>
        <v>2138.8000000000002</v>
      </c>
      <c r="E61" s="36">
        <f t="shared" si="33"/>
        <v>0</v>
      </c>
      <c r="F61" s="46">
        <f t="shared" si="33"/>
        <v>2138.8000000000002</v>
      </c>
      <c r="G61" s="46">
        <f t="shared" si="33"/>
        <v>0</v>
      </c>
      <c r="H61" s="46">
        <f t="shared" si="33"/>
        <v>0</v>
      </c>
      <c r="I61" s="46">
        <f t="shared" si="33"/>
        <v>0</v>
      </c>
      <c r="J61" s="46">
        <f t="shared" si="33"/>
        <v>2138.8000000000002</v>
      </c>
      <c r="K61" s="46">
        <f t="shared" si="33"/>
        <v>2138.8000000000002</v>
      </c>
      <c r="L61" s="46">
        <f t="shared" si="33"/>
        <v>2138.5700000000002</v>
      </c>
    </row>
    <row r="62" spans="1:12" ht="42.75" customHeight="1" x14ac:dyDescent="0.25">
      <c r="A62" s="10" t="s">
        <v>337</v>
      </c>
      <c r="B62" s="11" t="s">
        <v>44</v>
      </c>
      <c r="C62" s="11" t="s">
        <v>27</v>
      </c>
      <c r="D62" s="4">
        <v>2138.8000000000002</v>
      </c>
      <c r="E62" s="4"/>
      <c r="F62" s="16">
        <f>D62+E62</f>
        <v>2138.8000000000002</v>
      </c>
      <c r="G62" s="16"/>
      <c r="H62" s="16"/>
      <c r="I62" s="16"/>
      <c r="J62" s="16">
        <f>F62+I62</f>
        <v>2138.8000000000002</v>
      </c>
      <c r="K62" s="16">
        <v>2138.8000000000002</v>
      </c>
      <c r="L62" s="16">
        <v>2138.5700000000002</v>
      </c>
    </row>
    <row r="63" spans="1:12" ht="51.75" customHeight="1" x14ac:dyDescent="0.25">
      <c r="A63" s="44" t="s">
        <v>185</v>
      </c>
      <c r="B63" s="37" t="s">
        <v>186</v>
      </c>
      <c r="C63" s="37"/>
      <c r="D63" s="36">
        <f t="shared" ref="D63:L63" si="34">D64</f>
        <v>2637</v>
      </c>
      <c r="E63" s="36">
        <f t="shared" si="34"/>
        <v>0</v>
      </c>
      <c r="F63" s="46">
        <f t="shared" si="34"/>
        <v>2637</v>
      </c>
      <c r="G63" s="46">
        <f t="shared" si="34"/>
        <v>0</v>
      </c>
      <c r="H63" s="46">
        <f t="shared" si="34"/>
        <v>0</v>
      </c>
      <c r="I63" s="46">
        <f t="shared" si="34"/>
        <v>0</v>
      </c>
      <c r="J63" s="46">
        <f t="shared" si="34"/>
        <v>2637</v>
      </c>
      <c r="K63" s="46">
        <f t="shared" si="34"/>
        <v>2637</v>
      </c>
      <c r="L63" s="46">
        <f t="shared" si="34"/>
        <v>2637</v>
      </c>
    </row>
    <row r="64" spans="1:12" ht="47.25" x14ac:dyDescent="0.25">
      <c r="A64" s="10" t="s">
        <v>337</v>
      </c>
      <c r="B64" s="11" t="s">
        <v>186</v>
      </c>
      <c r="C64" s="11" t="s">
        <v>27</v>
      </c>
      <c r="D64" s="4">
        <v>2637</v>
      </c>
      <c r="E64" s="4"/>
      <c r="F64" s="16">
        <f>E64+D64</f>
        <v>2637</v>
      </c>
      <c r="G64" s="16"/>
      <c r="H64" s="16"/>
      <c r="I64" s="16"/>
      <c r="J64" s="16">
        <f>F64+I64</f>
        <v>2637</v>
      </c>
      <c r="K64" s="16">
        <v>2637</v>
      </c>
      <c r="L64" s="16">
        <v>2637</v>
      </c>
    </row>
    <row r="65" spans="1:12" ht="15.75" x14ac:dyDescent="0.25">
      <c r="A65" s="44" t="s">
        <v>187</v>
      </c>
      <c r="B65" s="37" t="s">
        <v>188</v>
      </c>
      <c r="C65" s="37"/>
      <c r="D65" s="36">
        <f t="shared" ref="D65:L65" si="35">D66</f>
        <v>1933.55</v>
      </c>
      <c r="E65" s="36">
        <f t="shared" si="35"/>
        <v>0</v>
      </c>
      <c r="F65" s="46">
        <f t="shared" si="35"/>
        <v>1933.55</v>
      </c>
      <c r="G65" s="46">
        <f t="shared" si="35"/>
        <v>0</v>
      </c>
      <c r="H65" s="46">
        <f t="shared" si="35"/>
        <v>0</v>
      </c>
      <c r="I65" s="46">
        <f t="shared" si="35"/>
        <v>0</v>
      </c>
      <c r="J65" s="46">
        <f t="shared" si="35"/>
        <v>1933.55</v>
      </c>
      <c r="K65" s="46">
        <f t="shared" si="35"/>
        <v>1933.55</v>
      </c>
      <c r="L65" s="46">
        <f t="shared" si="35"/>
        <v>1933.55</v>
      </c>
    </row>
    <row r="66" spans="1:12" ht="37.5" customHeight="1" x14ac:dyDescent="0.25">
      <c r="A66" s="10" t="s">
        <v>33</v>
      </c>
      <c r="B66" s="11" t="s">
        <v>188</v>
      </c>
      <c r="C66" s="11" t="s">
        <v>34</v>
      </c>
      <c r="D66" s="4">
        <v>1933.55</v>
      </c>
      <c r="E66" s="4"/>
      <c r="F66" s="16">
        <f>D66+E66</f>
        <v>1933.55</v>
      </c>
      <c r="G66" s="16"/>
      <c r="H66" s="16"/>
      <c r="I66" s="16"/>
      <c r="J66" s="16">
        <f>F66+H66</f>
        <v>1933.55</v>
      </c>
      <c r="K66" s="16">
        <v>1933.55</v>
      </c>
      <c r="L66" s="16">
        <v>1933.55</v>
      </c>
    </row>
    <row r="67" spans="1:12" ht="36.75" customHeight="1" x14ac:dyDescent="0.25">
      <c r="A67" s="8" t="s">
        <v>178</v>
      </c>
      <c r="B67" s="51" t="s">
        <v>45</v>
      </c>
      <c r="C67" s="51"/>
      <c r="D67" s="9">
        <f t="shared" ref="D67:L67" si="36">D68</f>
        <v>35089</v>
      </c>
      <c r="E67" s="9">
        <f t="shared" si="36"/>
        <v>0</v>
      </c>
      <c r="F67" s="61">
        <f t="shared" si="36"/>
        <v>35089</v>
      </c>
      <c r="G67" s="61">
        <f t="shared" si="36"/>
        <v>22476.22</v>
      </c>
      <c r="H67" s="61">
        <f t="shared" si="36"/>
        <v>0</v>
      </c>
      <c r="I67" s="61">
        <f t="shared" si="36"/>
        <v>922.7</v>
      </c>
      <c r="J67" s="61">
        <f t="shared" si="36"/>
        <v>58487.92</v>
      </c>
      <c r="K67" s="61">
        <f t="shared" si="36"/>
        <v>60738.18</v>
      </c>
      <c r="L67" s="61">
        <f t="shared" si="36"/>
        <v>55508</v>
      </c>
    </row>
    <row r="68" spans="1:12" ht="35.450000000000003" customHeight="1" x14ac:dyDescent="0.25">
      <c r="A68" s="21" t="s">
        <v>338</v>
      </c>
      <c r="B68" s="22" t="s">
        <v>179</v>
      </c>
      <c r="C68" s="22"/>
      <c r="D68" s="23">
        <f t="shared" ref="D68:L68" si="37">SUM(D69)</f>
        <v>35089</v>
      </c>
      <c r="E68" s="23">
        <f t="shared" si="37"/>
        <v>0</v>
      </c>
      <c r="F68" s="28">
        <f t="shared" si="37"/>
        <v>35089</v>
      </c>
      <c r="G68" s="28">
        <f t="shared" si="37"/>
        <v>22476.22</v>
      </c>
      <c r="H68" s="28">
        <f t="shared" si="37"/>
        <v>0</v>
      </c>
      <c r="I68" s="28">
        <f t="shared" si="37"/>
        <v>922.7</v>
      </c>
      <c r="J68" s="28">
        <f>SUM(J69)</f>
        <v>58487.92</v>
      </c>
      <c r="K68" s="28">
        <f t="shared" si="37"/>
        <v>60738.18</v>
      </c>
      <c r="L68" s="28">
        <f t="shared" si="37"/>
        <v>55508</v>
      </c>
    </row>
    <row r="69" spans="1:12" ht="36.75" customHeight="1" x14ac:dyDescent="0.25">
      <c r="A69" s="10" t="s">
        <v>46</v>
      </c>
      <c r="B69" s="11" t="s">
        <v>47</v>
      </c>
      <c r="C69" s="11"/>
      <c r="D69" s="4">
        <f t="shared" ref="D69:E69" si="38">D71</f>
        <v>35089</v>
      </c>
      <c r="E69" s="4">
        <f t="shared" si="38"/>
        <v>0</v>
      </c>
      <c r="F69" s="16">
        <f>F70+F71</f>
        <v>35089</v>
      </c>
      <c r="G69" s="16">
        <f>G70+G71</f>
        <v>22476.22</v>
      </c>
      <c r="H69" s="16">
        <f t="shared" ref="H69:I69" si="39">H70+H71</f>
        <v>0</v>
      </c>
      <c r="I69" s="16">
        <f t="shared" si="39"/>
        <v>922.7</v>
      </c>
      <c r="J69" s="16">
        <f>J70+J71</f>
        <v>58487.92</v>
      </c>
      <c r="K69" s="16">
        <f>K70+K71</f>
        <v>60738.18</v>
      </c>
      <c r="L69" s="16">
        <f>L70+L71</f>
        <v>55508</v>
      </c>
    </row>
    <row r="70" spans="1:12" ht="33.75" customHeight="1" x14ac:dyDescent="0.25">
      <c r="A70" s="10" t="s">
        <v>33</v>
      </c>
      <c r="B70" s="11" t="s">
        <v>47</v>
      </c>
      <c r="C70" s="11" t="s">
        <v>34</v>
      </c>
      <c r="D70" s="4">
        <v>35089</v>
      </c>
      <c r="E70" s="4"/>
      <c r="F70" s="16"/>
      <c r="G70" s="16">
        <v>22476.22</v>
      </c>
      <c r="H70" s="16"/>
      <c r="I70" s="16">
        <v>922.7</v>
      </c>
      <c r="J70" s="16">
        <f>G70+I70</f>
        <v>23398.920000000002</v>
      </c>
      <c r="K70" s="16">
        <v>25649.18</v>
      </c>
      <c r="L70" s="16">
        <v>23318.959999999999</v>
      </c>
    </row>
    <row r="71" spans="1:12" ht="33.75" customHeight="1" x14ac:dyDescent="0.25">
      <c r="A71" s="10" t="s">
        <v>337</v>
      </c>
      <c r="B71" s="11" t="s">
        <v>47</v>
      </c>
      <c r="C71" s="11" t="s">
        <v>27</v>
      </c>
      <c r="D71" s="4">
        <v>35089</v>
      </c>
      <c r="E71" s="4"/>
      <c r="F71" s="16">
        <f>D71+E71</f>
        <v>35089</v>
      </c>
      <c r="G71" s="16"/>
      <c r="H71" s="16"/>
      <c r="I71" s="16"/>
      <c r="J71" s="16">
        <f>F71+I71</f>
        <v>35089</v>
      </c>
      <c r="K71" s="16">
        <v>35089</v>
      </c>
      <c r="L71" s="16">
        <v>32189.040000000001</v>
      </c>
    </row>
    <row r="72" spans="1:12" ht="31.5" x14ac:dyDescent="0.25">
      <c r="A72" s="5" t="s">
        <v>290</v>
      </c>
      <c r="B72" s="7" t="s">
        <v>59</v>
      </c>
      <c r="C72" s="7"/>
      <c r="D72" s="6">
        <f t="shared" ref="D72:L72" si="40">D73+D77+D95+D102+D108+D85+D81+D121+D125</f>
        <v>37532.06</v>
      </c>
      <c r="E72" s="6">
        <f t="shared" si="40"/>
        <v>-1513.31</v>
      </c>
      <c r="F72" s="15" t="e">
        <f t="shared" si="40"/>
        <v>#REF!</v>
      </c>
      <c r="G72" s="15" t="e">
        <f t="shared" si="40"/>
        <v>#REF!</v>
      </c>
      <c r="H72" s="15" t="e">
        <f t="shared" si="40"/>
        <v>#REF!</v>
      </c>
      <c r="I72" s="15" t="e">
        <f t="shared" si="40"/>
        <v>#REF!</v>
      </c>
      <c r="J72" s="15" t="e">
        <f t="shared" si="40"/>
        <v>#REF!</v>
      </c>
      <c r="K72" s="15">
        <f t="shared" si="40"/>
        <v>38113.17</v>
      </c>
      <c r="L72" s="15">
        <f t="shared" si="40"/>
        <v>37107.380000000005</v>
      </c>
    </row>
    <row r="73" spans="1:12" ht="66.75" customHeight="1" x14ac:dyDescent="0.25">
      <c r="A73" s="21" t="s">
        <v>36</v>
      </c>
      <c r="B73" s="22" t="s">
        <v>35</v>
      </c>
      <c r="C73" s="22"/>
      <c r="D73" s="23">
        <f t="shared" ref="D73:L73" si="41">D74</f>
        <v>1638.57</v>
      </c>
      <c r="E73" s="23">
        <f t="shared" si="41"/>
        <v>0</v>
      </c>
      <c r="F73" s="28">
        <f t="shared" si="41"/>
        <v>1638.57</v>
      </c>
      <c r="G73" s="28">
        <f t="shared" si="41"/>
        <v>0</v>
      </c>
      <c r="H73" s="28">
        <f t="shared" si="41"/>
        <v>0</v>
      </c>
      <c r="I73" s="28">
        <f t="shared" si="41"/>
        <v>0</v>
      </c>
      <c r="J73" s="28">
        <f t="shared" si="41"/>
        <v>1638.5700000000002</v>
      </c>
      <c r="K73" s="28">
        <f t="shared" si="41"/>
        <v>1638.5700000000002</v>
      </c>
      <c r="L73" s="28">
        <f t="shared" si="41"/>
        <v>1626.78</v>
      </c>
    </row>
    <row r="74" spans="1:12" ht="63" x14ac:dyDescent="0.25">
      <c r="A74" s="10" t="s">
        <v>75</v>
      </c>
      <c r="B74" s="11" t="s">
        <v>35</v>
      </c>
      <c r="C74" s="22"/>
      <c r="D74" s="4">
        <f t="shared" ref="D74:J74" si="42">D75+D76</f>
        <v>1638.57</v>
      </c>
      <c r="E74" s="4">
        <f t="shared" si="42"/>
        <v>0</v>
      </c>
      <c r="F74" s="16">
        <f t="shared" si="42"/>
        <v>1638.57</v>
      </c>
      <c r="G74" s="16">
        <f t="shared" si="42"/>
        <v>0</v>
      </c>
      <c r="H74" s="16">
        <f t="shared" si="42"/>
        <v>0</v>
      </c>
      <c r="I74" s="16">
        <f t="shared" si="42"/>
        <v>0</v>
      </c>
      <c r="J74" s="16">
        <f t="shared" si="42"/>
        <v>1638.5700000000002</v>
      </c>
      <c r="K74" s="16">
        <f>K75+K76</f>
        <v>1638.5700000000002</v>
      </c>
      <c r="L74" s="16">
        <f>L75+L76</f>
        <v>1626.78</v>
      </c>
    </row>
    <row r="75" spans="1:12" ht="78.75" customHeight="1" x14ac:dyDescent="0.25">
      <c r="A75" s="10" t="s">
        <v>31</v>
      </c>
      <c r="B75" s="11" t="s">
        <v>35</v>
      </c>
      <c r="C75" s="11" t="s">
        <v>32</v>
      </c>
      <c r="D75" s="4">
        <v>1550</v>
      </c>
      <c r="E75" s="4"/>
      <c r="F75" s="16">
        <f>D75+E75</f>
        <v>1550</v>
      </c>
      <c r="G75" s="16"/>
      <c r="H75" s="16"/>
      <c r="I75" s="16">
        <v>-135.08000000000001</v>
      </c>
      <c r="J75" s="16">
        <f>F75+I75</f>
        <v>1414.92</v>
      </c>
      <c r="K75" s="16">
        <v>1210.97</v>
      </c>
      <c r="L75" s="16">
        <v>1210.97</v>
      </c>
    </row>
    <row r="76" spans="1:12" ht="40.700000000000003" customHeight="1" x14ac:dyDescent="0.25">
      <c r="A76" s="10" t="s">
        <v>33</v>
      </c>
      <c r="B76" s="11" t="s">
        <v>35</v>
      </c>
      <c r="C76" s="11" t="s">
        <v>34</v>
      </c>
      <c r="D76" s="4">
        <v>88.57</v>
      </c>
      <c r="E76" s="4"/>
      <c r="F76" s="16">
        <f>D76+E76</f>
        <v>88.57</v>
      </c>
      <c r="G76" s="16"/>
      <c r="H76" s="16"/>
      <c r="I76" s="16">
        <v>135.08000000000001</v>
      </c>
      <c r="J76" s="16">
        <f>F76+I76</f>
        <v>223.65</v>
      </c>
      <c r="K76" s="16">
        <v>427.6</v>
      </c>
      <c r="L76" s="16">
        <v>415.81</v>
      </c>
    </row>
    <row r="77" spans="1:12" ht="57" customHeight="1" x14ac:dyDescent="0.25">
      <c r="A77" s="21" t="s">
        <v>262</v>
      </c>
      <c r="B77" s="22" t="s">
        <v>30</v>
      </c>
      <c r="C77" s="22"/>
      <c r="D77" s="23">
        <f t="shared" ref="D77:L77" si="43">D78</f>
        <v>797</v>
      </c>
      <c r="E77" s="23">
        <f t="shared" si="43"/>
        <v>0</v>
      </c>
      <c r="F77" s="28">
        <f t="shared" si="43"/>
        <v>797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797</v>
      </c>
      <c r="K77" s="28">
        <f t="shared" si="43"/>
        <v>797</v>
      </c>
      <c r="L77" s="28">
        <f t="shared" si="43"/>
        <v>797</v>
      </c>
    </row>
    <row r="78" spans="1:12" ht="83.25" customHeight="1" x14ac:dyDescent="0.25">
      <c r="A78" s="10" t="s">
        <v>74</v>
      </c>
      <c r="B78" s="11" t="s">
        <v>30</v>
      </c>
      <c r="C78" s="11"/>
      <c r="D78" s="4">
        <f t="shared" ref="D78:J78" si="44">D79+D80</f>
        <v>797</v>
      </c>
      <c r="E78" s="4">
        <f t="shared" si="44"/>
        <v>0</v>
      </c>
      <c r="F78" s="16">
        <f t="shared" si="44"/>
        <v>797</v>
      </c>
      <c r="G78" s="16">
        <f t="shared" si="44"/>
        <v>0</v>
      </c>
      <c r="H78" s="16">
        <f t="shared" si="44"/>
        <v>0</v>
      </c>
      <c r="I78" s="16">
        <f t="shared" si="44"/>
        <v>0</v>
      </c>
      <c r="J78" s="16">
        <f t="shared" si="44"/>
        <v>797</v>
      </c>
      <c r="K78" s="16">
        <f>K79+K80</f>
        <v>797</v>
      </c>
      <c r="L78" s="16">
        <f t="shared" ref="L78" si="45">L79+L80</f>
        <v>797</v>
      </c>
    </row>
    <row r="79" spans="1:12" ht="81.75" customHeight="1" x14ac:dyDescent="0.25">
      <c r="A79" s="10" t="s">
        <v>31</v>
      </c>
      <c r="B79" s="11" t="s">
        <v>30</v>
      </c>
      <c r="C79" s="11" t="s">
        <v>32</v>
      </c>
      <c r="D79" s="4">
        <v>547</v>
      </c>
      <c r="E79" s="4"/>
      <c r="F79" s="16">
        <f>D79+E79</f>
        <v>547</v>
      </c>
      <c r="G79" s="16"/>
      <c r="H79" s="16"/>
      <c r="I79" s="16">
        <v>213.23</v>
      </c>
      <c r="J79" s="16">
        <f>F79+I79</f>
        <v>760.23</v>
      </c>
      <c r="K79" s="16">
        <v>611.07000000000005</v>
      </c>
      <c r="L79" s="16">
        <v>611.07000000000005</v>
      </c>
    </row>
    <row r="80" spans="1:12" ht="37.5" customHeight="1" x14ac:dyDescent="0.25">
      <c r="A80" s="10" t="s">
        <v>33</v>
      </c>
      <c r="B80" s="11" t="s">
        <v>30</v>
      </c>
      <c r="C80" s="11" t="s">
        <v>34</v>
      </c>
      <c r="D80" s="4">
        <v>250</v>
      </c>
      <c r="E80" s="4"/>
      <c r="F80" s="16">
        <f>D80+E80</f>
        <v>250</v>
      </c>
      <c r="G80" s="16"/>
      <c r="H80" s="16"/>
      <c r="I80" s="16">
        <v>-213.23</v>
      </c>
      <c r="J80" s="16">
        <f>F80+I80</f>
        <v>36.77000000000001</v>
      </c>
      <c r="K80" s="16">
        <v>185.93</v>
      </c>
      <c r="L80" s="16">
        <v>185.93</v>
      </c>
    </row>
    <row r="81" spans="1:12" ht="39.75" customHeight="1" x14ac:dyDescent="0.25">
      <c r="A81" s="21" t="s">
        <v>285</v>
      </c>
      <c r="B81" s="22" t="s">
        <v>114</v>
      </c>
      <c r="C81" s="22"/>
      <c r="D81" s="23">
        <f t="shared" ref="D81:L81" si="46">D82</f>
        <v>570</v>
      </c>
      <c r="E81" s="23">
        <f t="shared" si="46"/>
        <v>0</v>
      </c>
      <c r="F81" s="28">
        <f t="shared" si="46"/>
        <v>570</v>
      </c>
      <c r="G81" s="28">
        <f t="shared" si="46"/>
        <v>0</v>
      </c>
      <c r="H81" s="28">
        <f t="shared" si="46"/>
        <v>0</v>
      </c>
      <c r="I81" s="28">
        <f t="shared" si="46"/>
        <v>0</v>
      </c>
      <c r="J81" s="28">
        <f t="shared" si="46"/>
        <v>570</v>
      </c>
      <c r="K81" s="28">
        <f t="shared" si="46"/>
        <v>669</v>
      </c>
      <c r="L81" s="28">
        <f t="shared" si="46"/>
        <v>420.46</v>
      </c>
    </row>
    <row r="82" spans="1:12" ht="40.15" customHeight="1" x14ac:dyDescent="0.25">
      <c r="A82" s="44" t="s">
        <v>284</v>
      </c>
      <c r="B82" s="37" t="s">
        <v>114</v>
      </c>
      <c r="C82" s="37"/>
      <c r="D82" s="36">
        <f t="shared" ref="D82:J82" si="47">D83+D84</f>
        <v>570</v>
      </c>
      <c r="E82" s="36">
        <f t="shared" si="47"/>
        <v>0</v>
      </c>
      <c r="F82" s="46">
        <f t="shared" si="47"/>
        <v>570</v>
      </c>
      <c r="G82" s="46">
        <f t="shared" si="47"/>
        <v>0</v>
      </c>
      <c r="H82" s="46">
        <f t="shared" si="47"/>
        <v>0</v>
      </c>
      <c r="I82" s="46">
        <f t="shared" si="47"/>
        <v>0</v>
      </c>
      <c r="J82" s="46">
        <f t="shared" si="47"/>
        <v>570</v>
      </c>
      <c r="K82" s="46">
        <f t="shared" ref="K82:L82" si="48">K83+K84</f>
        <v>669</v>
      </c>
      <c r="L82" s="46">
        <f t="shared" si="48"/>
        <v>420.46</v>
      </c>
    </row>
    <row r="83" spans="1:12" ht="33.75" customHeight="1" x14ac:dyDescent="0.25">
      <c r="A83" s="10" t="s">
        <v>33</v>
      </c>
      <c r="B83" s="11" t="s">
        <v>114</v>
      </c>
      <c r="C83" s="11" t="s">
        <v>34</v>
      </c>
      <c r="D83" s="4">
        <v>470</v>
      </c>
      <c r="E83" s="4"/>
      <c r="F83" s="16">
        <f>D83+E83</f>
        <v>470</v>
      </c>
      <c r="G83" s="16"/>
      <c r="H83" s="16"/>
      <c r="I83" s="16"/>
      <c r="J83" s="16">
        <f>F83+I83</f>
        <v>470</v>
      </c>
      <c r="K83" s="16">
        <f>46.6+93.48+473.06</f>
        <v>613.14</v>
      </c>
      <c r="L83" s="16">
        <v>420.46</v>
      </c>
    </row>
    <row r="84" spans="1:12" ht="32.25" customHeight="1" x14ac:dyDescent="0.25">
      <c r="A84" s="10" t="s">
        <v>65</v>
      </c>
      <c r="B84" s="11" t="s">
        <v>114</v>
      </c>
      <c r="C84" s="11" t="s">
        <v>67</v>
      </c>
      <c r="D84" s="4">
        <v>100</v>
      </c>
      <c r="E84" s="4"/>
      <c r="F84" s="16">
        <f>D84+E84</f>
        <v>100</v>
      </c>
      <c r="G84" s="16"/>
      <c r="H84" s="16"/>
      <c r="I84" s="16"/>
      <c r="J84" s="16">
        <f>F84</f>
        <v>100</v>
      </c>
      <c r="K84" s="16">
        <v>55.86</v>
      </c>
      <c r="L84" s="16">
        <v>0</v>
      </c>
    </row>
    <row r="85" spans="1:12" ht="51.75" customHeight="1" x14ac:dyDescent="0.25">
      <c r="A85" s="41" t="s">
        <v>14</v>
      </c>
      <c r="B85" s="42" t="s">
        <v>109</v>
      </c>
      <c r="C85" s="42"/>
      <c r="D85" s="43">
        <f t="shared" ref="D85:L85" si="49">D86</f>
        <v>5904</v>
      </c>
      <c r="E85" s="43">
        <f t="shared" si="49"/>
        <v>0</v>
      </c>
      <c r="F85" s="62">
        <f t="shared" si="49"/>
        <v>5904</v>
      </c>
      <c r="G85" s="62">
        <f t="shared" si="49"/>
        <v>0</v>
      </c>
      <c r="H85" s="62">
        <f t="shared" si="49"/>
        <v>0</v>
      </c>
      <c r="I85" s="62">
        <f t="shared" si="49"/>
        <v>52.5</v>
      </c>
      <c r="J85" s="62">
        <f t="shared" si="49"/>
        <v>5956.5</v>
      </c>
      <c r="K85" s="62">
        <f t="shared" si="49"/>
        <v>6211.93</v>
      </c>
      <c r="L85" s="62">
        <f t="shared" si="49"/>
        <v>5699.66</v>
      </c>
    </row>
    <row r="86" spans="1:12" ht="36.75" customHeight="1" x14ac:dyDescent="0.25">
      <c r="A86" s="38" t="s">
        <v>110</v>
      </c>
      <c r="B86" s="39" t="s">
        <v>111</v>
      </c>
      <c r="C86" s="39"/>
      <c r="D86" s="40">
        <f t="shared" ref="D86:J86" si="50">D87+D89+D91+D93</f>
        <v>5904</v>
      </c>
      <c r="E86" s="40">
        <f t="shared" si="50"/>
        <v>0</v>
      </c>
      <c r="F86" s="63">
        <f t="shared" si="50"/>
        <v>5904</v>
      </c>
      <c r="G86" s="63">
        <f t="shared" si="50"/>
        <v>0</v>
      </c>
      <c r="H86" s="63">
        <f t="shared" si="50"/>
        <v>0</v>
      </c>
      <c r="I86" s="63">
        <f t="shared" si="50"/>
        <v>52.5</v>
      </c>
      <c r="J86" s="63">
        <f t="shared" si="50"/>
        <v>5956.5</v>
      </c>
      <c r="K86" s="63">
        <f t="shared" ref="K86:L86" si="51">K87+K89+K91+K93</f>
        <v>6211.93</v>
      </c>
      <c r="L86" s="63">
        <f t="shared" si="51"/>
        <v>5699.66</v>
      </c>
    </row>
    <row r="87" spans="1:12" ht="144.75" customHeight="1" x14ac:dyDescent="0.25">
      <c r="A87" s="44" t="s">
        <v>194</v>
      </c>
      <c r="B87" s="37" t="s">
        <v>111</v>
      </c>
      <c r="C87" s="37"/>
      <c r="D87" s="36">
        <f t="shared" ref="D87:L87" si="52">D88</f>
        <v>2750</v>
      </c>
      <c r="E87" s="36">
        <f t="shared" si="52"/>
        <v>0</v>
      </c>
      <c r="F87" s="46">
        <f t="shared" si="52"/>
        <v>2750</v>
      </c>
      <c r="G87" s="46">
        <f t="shared" si="52"/>
        <v>0</v>
      </c>
      <c r="H87" s="46">
        <f t="shared" si="52"/>
        <v>0</v>
      </c>
      <c r="I87" s="46">
        <f t="shared" si="52"/>
        <v>0</v>
      </c>
      <c r="J87" s="46">
        <f t="shared" si="52"/>
        <v>2750</v>
      </c>
      <c r="K87" s="46">
        <f t="shared" si="52"/>
        <v>2751.86</v>
      </c>
      <c r="L87" s="46">
        <f t="shared" si="52"/>
        <v>2751.86</v>
      </c>
    </row>
    <row r="88" spans="1:12" ht="24" customHeight="1" x14ac:dyDescent="0.25">
      <c r="A88" s="10" t="s">
        <v>65</v>
      </c>
      <c r="B88" s="11" t="s">
        <v>111</v>
      </c>
      <c r="C88" s="11" t="s">
        <v>67</v>
      </c>
      <c r="D88" s="4">
        <v>2750</v>
      </c>
      <c r="E88" s="4"/>
      <c r="F88" s="16">
        <f>D88+E88</f>
        <v>2750</v>
      </c>
      <c r="G88" s="16"/>
      <c r="H88" s="16"/>
      <c r="I88" s="16"/>
      <c r="J88" s="16">
        <f>F88+I88</f>
        <v>2750</v>
      </c>
      <c r="K88" s="16">
        <v>2751.86</v>
      </c>
      <c r="L88" s="16">
        <v>2751.86</v>
      </c>
    </row>
    <row r="89" spans="1:12" ht="130.5" customHeight="1" x14ac:dyDescent="0.25">
      <c r="A89" s="44" t="s">
        <v>190</v>
      </c>
      <c r="B89" s="37" t="s">
        <v>112</v>
      </c>
      <c r="C89" s="37"/>
      <c r="D89" s="36">
        <f t="shared" ref="D89:L89" si="53">D90</f>
        <v>1739</v>
      </c>
      <c r="E89" s="36">
        <f t="shared" si="53"/>
        <v>0</v>
      </c>
      <c r="F89" s="46">
        <f t="shared" si="53"/>
        <v>1739</v>
      </c>
      <c r="G89" s="46">
        <f t="shared" si="53"/>
        <v>0</v>
      </c>
      <c r="H89" s="46">
        <f t="shared" si="53"/>
        <v>0</v>
      </c>
      <c r="I89" s="46">
        <f t="shared" si="53"/>
        <v>77</v>
      </c>
      <c r="J89" s="46">
        <f t="shared" si="53"/>
        <v>1816</v>
      </c>
      <c r="K89" s="46">
        <f t="shared" si="53"/>
        <v>2170.4299999999998</v>
      </c>
      <c r="L89" s="46">
        <f t="shared" si="53"/>
        <v>1702.3</v>
      </c>
    </row>
    <row r="90" spans="1:12" ht="24" customHeight="1" x14ac:dyDescent="0.25">
      <c r="A90" s="10" t="s">
        <v>65</v>
      </c>
      <c r="B90" s="11" t="s">
        <v>112</v>
      </c>
      <c r="C90" s="11" t="s">
        <v>67</v>
      </c>
      <c r="D90" s="4">
        <f>1000+150+250+139+100+100</f>
        <v>1739</v>
      </c>
      <c r="E90" s="4"/>
      <c r="F90" s="16">
        <f>D90+E90</f>
        <v>1739</v>
      </c>
      <c r="G90" s="16"/>
      <c r="H90" s="16"/>
      <c r="I90" s="16">
        <v>77</v>
      </c>
      <c r="J90" s="16">
        <f>F90+I90</f>
        <v>1816</v>
      </c>
      <c r="K90" s="16">
        <v>2170.4299999999998</v>
      </c>
      <c r="L90" s="16">
        <v>1702.3</v>
      </c>
    </row>
    <row r="91" spans="1:12" ht="110.25" customHeight="1" x14ac:dyDescent="0.25">
      <c r="A91" s="44" t="s">
        <v>191</v>
      </c>
      <c r="B91" s="37" t="s">
        <v>113</v>
      </c>
      <c r="C91" s="37"/>
      <c r="D91" s="36">
        <f t="shared" ref="D91:L91" si="54">D92</f>
        <v>1380</v>
      </c>
      <c r="E91" s="36">
        <f t="shared" si="54"/>
        <v>0</v>
      </c>
      <c r="F91" s="46">
        <f t="shared" si="54"/>
        <v>1380</v>
      </c>
      <c r="G91" s="46">
        <f t="shared" si="54"/>
        <v>0</v>
      </c>
      <c r="H91" s="46">
        <f t="shared" si="54"/>
        <v>0</v>
      </c>
      <c r="I91" s="46">
        <f t="shared" si="54"/>
        <v>0</v>
      </c>
      <c r="J91" s="46">
        <f t="shared" si="54"/>
        <v>1380</v>
      </c>
      <c r="K91" s="46">
        <f t="shared" si="54"/>
        <v>1279.1400000000001</v>
      </c>
      <c r="L91" s="46">
        <f t="shared" si="54"/>
        <v>1235</v>
      </c>
    </row>
    <row r="92" spans="1:12" ht="26.25" customHeight="1" x14ac:dyDescent="0.25">
      <c r="A92" s="10" t="s">
        <v>65</v>
      </c>
      <c r="B92" s="11" t="s">
        <v>113</v>
      </c>
      <c r="C92" s="11" t="s">
        <v>67</v>
      </c>
      <c r="D92" s="4">
        <v>1380</v>
      </c>
      <c r="E92" s="4"/>
      <c r="F92" s="16">
        <f>D92+E92</f>
        <v>1380</v>
      </c>
      <c r="G92" s="16"/>
      <c r="H92" s="16"/>
      <c r="I92" s="16"/>
      <c r="J92" s="16">
        <f>F92+I92</f>
        <v>1380</v>
      </c>
      <c r="K92" s="16">
        <v>1279.1400000000001</v>
      </c>
      <c r="L92" s="16">
        <v>1235</v>
      </c>
    </row>
    <row r="93" spans="1:12" ht="64.5" customHeight="1" x14ac:dyDescent="0.25">
      <c r="A93" s="44" t="s">
        <v>339</v>
      </c>
      <c r="B93" s="37" t="s">
        <v>115</v>
      </c>
      <c r="C93" s="37"/>
      <c r="D93" s="36">
        <f t="shared" ref="D93:L93" si="55">D94</f>
        <v>35</v>
      </c>
      <c r="E93" s="36">
        <f t="shared" si="55"/>
        <v>0</v>
      </c>
      <c r="F93" s="46">
        <f t="shared" si="55"/>
        <v>35</v>
      </c>
      <c r="G93" s="46">
        <f t="shared" si="55"/>
        <v>0</v>
      </c>
      <c r="H93" s="46">
        <f t="shared" si="55"/>
        <v>0</v>
      </c>
      <c r="I93" s="46">
        <f t="shared" si="55"/>
        <v>-24.5</v>
      </c>
      <c r="J93" s="46">
        <f t="shared" si="55"/>
        <v>10.5</v>
      </c>
      <c r="K93" s="46">
        <f t="shared" si="55"/>
        <v>10.5</v>
      </c>
      <c r="L93" s="46">
        <f t="shared" si="55"/>
        <v>10.5</v>
      </c>
    </row>
    <row r="94" spans="1:12" ht="31.5" x14ac:dyDescent="0.25">
      <c r="A94" s="10" t="s">
        <v>65</v>
      </c>
      <c r="B94" s="11" t="s">
        <v>115</v>
      </c>
      <c r="C94" s="11" t="s">
        <v>67</v>
      </c>
      <c r="D94" s="4">
        <v>35</v>
      </c>
      <c r="E94" s="4"/>
      <c r="F94" s="16">
        <f>D94+E94</f>
        <v>35</v>
      </c>
      <c r="G94" s="16"/>
      <c r="H94" s="16"/>
      <c r="I94" s="16">
        <v>-24.5</v>
      </c>
      <c r="J94" s="16">
        <f>F94+I94</f>
        <v>10.5</v>
      </c>
      <c r="K94" s="16">
        <v>10.5</v>
      </c>
      <c r="L94" s="16">
        <v>10.5</v>
      </c>
    </row>
    <row r="95" spans="1:12" ht="48.75" customHeight="1" x14ac:dyDescent="0.25">
      <c r="A95" s="24" t="s">
        <v>56</v>
      </c>
      <c r="B95" s="25" t="s">
        <v>57</v>
      </c>
      <c r="C95" s="25"/>
      <c r="D95" s="26">
        <f t="shared" ref="D95:L95" si="56">D96</f>
        <v>7817.79</v>
      </c>
      <c r="E95" s="26">
        <f t="shared" si="56"/>
        <v>-1513.31</v>
      </c>
      <c r="F95" s="27">
        <f t="shared" si="56"/>
        <v>6304.48</v>
      </c>
      <c r="G95" s="27">
        <f t="shared" si="56"/>
        <v>0</v>
      </c>
      <c r="H95" s="27">
        <f t="shared" si="56"/>
        <v>0</v>
      </c>
      <c r="I95" s="27">
        <f t="shared" si="56"/>
        <v>0</v>
      </c>
      <c r="J95" s="27">
        <f t="shared" si="56"/>
        <v>6304.48</v>
      </c>
      <c r="K95" s="27">
        <f t="shared" si="56"/>
        <v>6526.8700000000008</v>
      </c>
      <c r="L95" s="27">
        <f t="shared" si="56"/>
        <v>6526.8700000000008</v>
      </c>
    </row>
    <row r="96" spans="1:12" ht="47.25" x14ac:dyDescent="0.25">
      <c r="A96" s="21" t="s">
        <v>340</v>
      </c>
      <c r="B96" s="22" t="s">
        <v>168</v>
      </c>
      <c r="C96" s="22"/>
      <c r="D96" s="23">
        <f t="shared" ref="D96:J96" si="57">D97+D99</f>
        <v>7817.79</v>
      </c>
      <c r="E96" s="23">
        <f t="shared" si="57"/>
        <v>-1513.31</v>
      </c>
      <c r="F96" s="28">
        <f t="shared" si="57"/>
        <v>6304.48</v>
      </c>
      <c r="G96" s="28">
        <f t="shared" si="57"/>
        <v>0</v>
      </c>
      <c r="H96" s="28">
        <f t="shared" si="57"/>
        <v>0</v>
      </c>
      <c r="I96" s="28">
        <f t="shared" si="57"/>
        <v>0</v>
      </c>
      <c r="J96" s="28">
        <f t="shared" si="57"/>
        <v>6304.48</v>
      </c>
      <c r="K96" s="28">
        <f t="shared" ref="K96:L96" si="58">K97+K99</f>
        <v>6526.8700000000008</v>
      </c>
      <c r="L96" s="28">
        <f t="shared" si="58"/>
        <v>6526.8700000000008</v>
      </c>
    </row>
    <row r="97" spans="1:12" ht="63" x14ac:dyDescent="0.25">
      <c r="A97" s="44" t="s">
        <v>341</v>
      </c>
      <c r="B97" s="37" t="s">
        <v>58</v>
      </c>
      <c r="C97" s="37"/>
      <c r="D97" s="36">
        <f t="shared" ref="D97:L97" si="59">D98</f>
        <v>7566.56</v>
      </c>
      <c r="E97" s="36">
        <f t="shared" si="59"/>
        <v>-1513.31</v>
      </c>
      <c r="F97" s="46">
        <f t="shared" si="59"/>
        <v>6053.25</v>
      </c>
      <c r="G97" s="46">
        <f t="shared" si="59"/>
        <v>0</v>
      </c>
      <c r="H97" s="46">
        <f t="shared" si="59"/>
        <v>0</v>
      </c>
      <c r="I97" s="46">
        <f t="shared" si="59"/>
        <v>0</v>
      </c>
      <c r="J97" s="46">
        <f t="shared" si="59"/>
        <v>6053.25</v>
      </c>
      <c r="K97" s="46">
        <f t="shared" si="59"/>
        <v>6275.64</v>
      </c>
      <c r="L97" s="46">
        <f t="shared" si="59"/>
        <v>6275.64</v>
      </c>
    </row>
    <row r="98" spans="1:12" ht="37.5" customHeight="1" x14ac:dyDescent="0.25">
      <c r="A98" s="10" t="s">
        <v>337</v>
      </c>
      <c r="B98" s="11" t="s">
        <v>58</v>
      </c>
      <c r="C98" s="11" t="s">
        <v>27</v>
      </c>
      <c r="D98" s="4">
        <v>7566.56</v>
      </c>
      <c r="E98" s="4">
        <v>-1513.31</v>
      </c>
      <c r="F98" s="16">
        <f>D98+E98</f>
        <v>6053.25</v>
      </c>
      <c r="G98" s="16"/>
      <c r="H98" s="16"/>
      <c r="I98" s="16"/>
      <c r="J98" s="16">
        <f>F98</f>
        <v>6053.25</v>
      </c>
      <c r="K98" s="16">
        <v>6275.64</v>
      </c>
      <c r="L98" s="16">
        <v>6275.64</v>
      </c>
    </row>
    <row r="99" spans="1:12" ht="81.75" customHeight="1" x14ac:dyDescent="0.25">
      <c r="A99" s="44" t="s">
        <v>64</v>
      </c>
      <c r="B99" s="37" t="s">
        <v>368</v>
      </c>
      <c r="C99" s="37"/>
      <c r="D99" s="36">
        <f t="shared" ref="D99:J99" si="60">D101</f>
        <v>251.23</v>
      </c>
      <c r="E99" s="36">
        <f t="shared" si="60"/>
        <v>0</v>
      </c>
      <c r="F99" s="46">
        <f t="shared" si="60"/>
        <v>251.23</v>
      </c>
      <c r="G99" s="46">
        <f t="shared" si="60"/>
        <v>0</v>
      </c>
      <c r="H99" s="46">
        <f t="shared" si="60"/>
        <v>0</v>
      </c>
      <c r="I99" s="46">
        <f t="shared" si="60"/>
        <v>0</v>
      </c>
      <c r="J99" s="46">
        <f t="shared" si="60"/>
        <v>251.23</v>
      </c>
      <c r="K99" s="46">
        <f>K100+K101</f>
        <v>251.23000000000002</v>
      </c>
      <c r="L99" s="46">
        <f>L100+L101</f>
        <v>251.23000000000002</v>
      </c>
    </row>
    <row r="100" spans="1:12" ht="78" customHeight="1" x14ac:dyDescent="0.25">
      <c r="A100" s="10" t="s">
        <v>31</v>
      </c>
      <c r="B100" s="11" t="s">
        <v>368</v>
      </c>
      <c r="C100" s="11" t="s">
        <v>32</v>
      </c>
      <c r="D100" s="4">
        <v>251.23</v>
      </c>
      <c r="E100" s="4"/>
      <c r="F100" s="16">
        <f>D100+E100</f>
        <v>251.23</v>
      </c>
      <c r="G100" s="16"/>
      <c r="H100" s="16"/>
      <c r="I100" s="16"/>
      <c r="J100" s="16">
        <f>F100+H100</f>
        <v>251.23</v>
      </c>
      <c r="K100" s="16">
        <v>104.37</v>
      </c>
      <c r="L100" s="16">
        <v>104.37</v>
      </c>
    </row>
    <row r="101" spans="1:12" ht="36" customHeight="1" x14ac:dyDescent="0.25">
      <c r="A101" s="10" t="s">
        <v>33</v>
      </c>
      <c r="B101" s="11" t="s">
        <v>368</v>
      </c>
      <c r="C101" s="11" t="s">
        <v>34</v>
      </c>
      <c r="D101" s="4">
        <v>251.23</v>
      </c>
      <c r="E101" s="4"/>
      <c r="F101" s="16">
        <f>D101+E101</f>
        <v>251.23</v>
      </c>
      <c r="G101" s="16"/>
      <c r="H101" s="16"/>
      <c r="I101" s="16"/>
      <c r="J101" s="16">
        <f>F101+H101</f>
        <v>251.23</v>
      </c>
      <c r="K101" s="16">
        <v>146.86000000000001</v>
      </c>
      <c r="L101" s="16">
        <v>146.86000000000001</v>
      </c>
    </row>
    <row r="102" spans="1:12" ht="38.25" customHeight="1" x14ac:dyDescent="0.25">
      <c r="A102" s="24" t="s">
        <v>60</v>
      </c>
      <c r="B102" s="25" t="s">
        <v>61</v>
      </c>
      <c r="C102" s="25"/>
      <c r="D102" s="26">
        <f t="shared" ref="D102:J102" si="61">D103+D106</f>
        <v>10238.640000000001</v>
      </c>
      <c r="E102" s="26">
        <f t="shared" si="61"/>
        <v>0</v>
      </c>
      <c r="F102" s="27">
        <f t="shared" si="61"/>
        <v>10238.640000000001</v>
      </c>
      <c r="G102" s="27">
        <f t="shared" si="61"/>
        <v>0</v>
      </c>
      <c r="H102" s="27">
        <f t="shared" si="61"/>
        <v>0</v>
      </c>
      <c r="I102" s="27">
        <f t="shared" si="61"/>
        <v>0</v>
      </c>
      <c r="J102" s="27">
        <f t="shared" si="61"/>
        <v>10238.640000000001</v>
      </c>
      <c r="K102" s="27">
        <f t="shared" ref="K102:L102" si="62">K103+K106</f>
        <v>9294.14</v>
      </c>
      <c r="L102" s="27">
        <f t="shared" si="62"/>
        <v>9174.27</v>
      </c>
    </row>
    <row r="103" spans="1:12" ht="33.75" customHeight="1" x14ac:dyDescent="0.25">
      <c r="A103" s="21" t="s">
        <v>342</v>
      </c>
      <c r="B103" s="22" t="s">
        <v>62</v>
      </c>
      <c r="C103" s="22"/>
      <c r="D103" s="23">
        <f t="shared" ref="D103:L104" si="63">D104</f>
        <v>1771.44</v>
      </c>
      <c r="E103" s="23">
        <f t="shared" si="63"/>
        <v>0</v>
      </c>
      <c r="F103" s="28">
        <f t="shared" si="63"/>
        <v>1771.44</v>
      </c>
      <c r="G103" s="28">
        <f t="shared" si="63"/>
        <v>0</v>
      </c>
      <c r="H103" s="28">
        <f t="shared" si="63"/>
        <v>0</v>
      </c>
      <c r="I103" s="28">
        <f t="shared" si="63"/>
        <v>0</v>
      </c>
      <c r="J103" s="28">
        <f t="shared" si="63"/>
        <v>1771.44</v>
      </c>
      <c r="K103" s="28">
        <f t="shared" si="63"/>
        <v>1771.44</v>
      </c>
      <c r="L103" s="28">
        <f t="shared" si="63"/>
        <v>1771.44</v>
      </c>
    </row>
    <row r="104" spans="1:12" ht="84" customHeight="1" x14ac:dyDescent="0.25">
      <c r="A104" s="44" t="s">
        <v>63</v>
      </c>
      <c r="B104" s="37" t="s">
        <v>62</v>
      </c>
      <c r="C104" s="37"/>
      <c r="D104" s="36">
        <f t="shared" si="63"/>
        <v>1771.44</v>
      </c>
      <c r="E104" s="36">
        <f t="shared" si="63"/>
        <v>0</v>
      </c>
      <c r="F104" s="46">
        <f t="shared" si="63"/>
        <v>1771.44</v>
      </c>
      <c r="G104" s="46">
        <f t="shared" si="63"/>
        <v>0</v>
      </c>
      <c r="H104" s="46">
        <f t="shared" si="63"/>
        <v>0</v>
      </c>
      <c r="I104" s="46">
        <f t="shared" si="63"/>
        <v>0</v>
      </c>
      <c r="J104" s="46">
        <f t="shared" si="63"/>
        <v>1771.44</v>
      </c>
      <c r="K104" s="46">
        <f t="shared" si="63"/>
        <v>1771.44</v>
      </c>
      <c r="L104" s="46">
        <f t="shared" si="63"/>
        <v>1771.44</v>
      </c>
    </row>
    <row r="105" spans="1:12" ht="82.5" customHeight="1" x14ac:dyDescent="0.25">
      <c r="A105" s="10" t="s">
        <v>31</v>
      </c>
      <c r="B105" s="11" t="s">
        <v>62</v>
      </c>
      <c r="C105" s="11" t="s">
        <v>32</v>
      </c>
      <c r="D105" s="4">
        <v>1771.44</v>
      </c>
      <c r="E105" s="4"/>
      <c r="F105" s="16">
        <f>D105+E105</f>
        <v>1771.44</v>
      </c>
      <c r="G105" s="16"/>
      <c r="H105" s="16"/>
      <c r="I105" s="16"/>
      <c r="J105" s="16">
        <f>F105+H105</f>
        <v>1771.44</v>
      </c>
      <c r="K105" s="16">
        <v>1771.44</v>
      </c>
      <c r="L105" s="16">
        <v>1771.44</v>
      </c>
    </row>
    <row r="106" spans="1:12" ht="103.5" customHeight="1" x14ac:dyDescent="0.25">
      <c r="A106" s="44" t="s">
        <v>15</v>
      </c>
      <c r="B106" s="37" t="s">
        <v>66</v>
      </c>
      <c r="C106" s="37"/>
      <c r="D106" s="36">
        <f t="shared" ref="D106:L106" si="64">D107</f>
        <v>8467.2000000000007</v>
      </c>
      <c r="E106" s="36">
        <f t="shared" si="64"/>
        <v>0</v>
      </c>
      <c r="F106" s="46">
        <f t="shared" si="64"/>
        <v>8467.2000000000007</v>
      </c>
      <c r="G106" s="46">
        <f t="shared" si="64"/>
        <v>0</v>
      </c>
      <c r="H106" s="46">
        <f t="shared" si="64"/>
        <v>0</v>
      </c>
      <c r="I106" s="46">
        <f t="shared" si="64"/>
        <v>0</v>
      </c>
      <c r="J106" s="46">
        <f t="shared" si="64"/>
        <v>8467.2000000000007</v>
      </c>
      <c r="K106" s="46">
        <f t="shared" si="64"/>
        <v>7522.7</v>
      </c>
      <c r="L106" s="46">
        <f t="shared" si="64"/>
        <v>7402.83</v>
      </c>
    </row>
    <row r="107" spans="1:12" ht="30.75" customHeight="1" x14ac:dyDescent="0.25">
      <c r="A107" s="10" t="s">
        <v>65</v>
      </c>
      <c r="B107" s="11" t="s">
        <v>66</v>
      </c>
      <c r="C107" s="11" t="s">
        <v>67</v>
      </c>
      <c r="D107" s="4">
        <v>8467.2000000000007</v>
      </c>
      <c r="E107" s="4"/>
      <c r="F107" s="16">
        <f>D107+E107</f>
        <v>8467.2000000000007</v>
      </c>
      <c r="G107" s="16"/>
      <c r="H107" s="16"/>
      <c r="I107" s="16"/>
      <c r="J107" s="16">
        <f>F107+H107</f>
        <v>8467.2000000000007</v>
      </c>
      <c r="K107" s="16">
        <v>7522.7</v>
      </c>
      <c r="L107" s="16">
        <v>7402.83</v>
      </c>
    </row>
    <row r="108" spans="1:12" ht="32.25" customHeight="1" x14ac:dyDescent="0.25">
      <c r="A108" s="24" t="s">
        <v>77</v>
      </c>
      <c r="B108" s="25" t="s">
        <v>80</v>
      </c>
      <c r="C108" s="25"/>
      <c r="D108" s="48">
        <f t="shared" ref="D108:J108" si="65">D109+D116+D119</f>
        <v>7390.17</v>
      </c>
      <c r="E108" s="48">
        <f t="shared" si="65"/>
        <v>0</v>
      </c>
      <c r="F108" s="64" t="e">
        <f t="shared" si="65"/>
        <v>#REF!</v>
      </c>
      <c r="G108" s="64" t="e">
        <f t="shared" si="65"/>
        <v>#REF!</v>
      </c>
      <c r="H108" s="64" t="e">
        <f t="shared" si="65"/>
        <v>#REF!</v>
      </c>
      <c r="I108" s="64" t="e">
        <f t="shared" si="65"/>
        <v>#REF!</v>
      </c>
      <c r="J108" s="64" t="e">
        <f t="shared" si="65"/>
        <v>#REF!</v>
      </c>
      <c r="K108" s="64">
        <f>K109</f>
        <v>7331.66</v>
      </c>
      <c r="L108" s="64">
        <f>L109</f>
        <v>7297.4400000000005</v>
      </c>
    </row>
    <row r="109" spans="1:12" ht="31.5" x14ac:dyDescent="0.25">
      <c r="A109" s="21" t="s">
        <v>78</v>
      </c>
      <c r="B109" s="22" t="s">
        <v>80</v>
      </c>
      <c r="C109" s="22"/>
      <c r="D109" s="23">
        <f t="shared" ref="D109:J109" si="66">D110+D113</f>
        <v>4010.17</v>
      </c>
      <c r="E109" s="23">
        <f t="shared" si="66"/>
        <v>0</v>
      </c>
      <c r="F109" s="28" t="e">
        <f t="shared" si="66"/>
        <v>#REF!</v>
      </c>
      <c r="G109" s="28" t="e">
        <f t="shared" si="66"/>
        <v>#REF!</v>
      </c>
      <c r="H109" s="28" t="e">
        <f t="shared" si="66"/>
        <v>#REF!</v>
      </c>
      <c r="I109" s="28" t="e">
        <f t="shared" si="66"/>
        <v>#REF!</v>
      </c>
      <c r="J109" s="28" t="e">
        <f t="shared" si="66"/>
        <v>#REF!</v>
      </c>
      <c r="K109" s="28">
        <f>K110+K113+K119+K116</f>
        <v>7331.66</v>
      </c>
      <c r="L109" s="28">
        <f>L110+L113+L119+L116</f>
        <v>7297.4400000000005</v>
      </c>
    </row>
    <row r="110" spans="1:12" ht="38.25" customHeight="1" x14ac:dyDescent="0.25">
      <c r="A110" s="44" t="s">
        <v>116</v>
      </c>
      <c r="B110" s="37" t="s">
        <v>79</v>
      </c>
      <c r="C110" s="37"/>
      <c r="D110" s="36">
        <f t="shared" ref="D110:E110" si="67">D112</f>
        <v>2239.04</v>
      </c>
      <c r="E110" s="36">
        <f t="shared" si="67"/>
        <v>0</v>
      </c>
      <c r="F110" s="46" t="e">
        <f>#REF!+F111+F112</f>
        <v>#REF!</v>
      </c>
      <c r="G110" s="46" t="e">
        <f>#REF!+G111+G112</f>
        <v>#REF!</v>
      </c>
      <c r="H110" s="46" t="e">
        <f>#REF!+H111+H112</f>
        <v>#REF!</v>
      </c>
      <c r="I110" s="46" t="e">
        <f>#REF!+I111+I112</f>
        <v>#REF!</v>
      </c>
      <c r="J110" s="46" t="e">
        <f>#REF!+J111+J112</f>
        <v>#REF!</v>
      </c>
      <c r="K110" s="46">
        <f>+K111+K112</f>
        <v>2239.04</v>
      </c>
      <c r="L110" s="46">
        <f>+L111+L112</f>
        <v>2239.04</v>
      </c>
    </row>
    <row r="111" spans="1:12" ht="30.75" customHeight="1" x14ac:dyDescent="0.25">
      <c r="A111" s="10" t="s">
        <v>65</v>
      </c>
      <c r="B111" s="11" t="s">
        <v>79</v>
      </c>
      <c r="C111" s="11" t="s">
        <v>67</v>
      </c>
      <c r="D111" s="4">
        <v>2239.04</v>
      </c>
      <c r="E111" s="4"/>
      <c r="F111" s="16"/>
      <c r="G111" s="16"/>
      <c r="H111" s="16"/>
      <c r="I111" s="16">
        <v>1356.6</v>
      </c>
      <c r="J111" s="16">
        <f>F111+I111</f>
        <v>1356.6</v>
      </c>
      <c r="K111" s="16">
        <v>1367.12</v>
      </c>
      <c r="L111" s="16">
        <v>1367.12</v>
      </c>
    </row>
    <row r="112" spans="1:12" ht="38.25" customHeight="1" x14ac:dyDescent="0.25">
      <c r="A112" s="10" t="s">
        <v>337</v>
      </c>
      <c r="B112" s="11" t="s">
        <v>79</v>
      </c>
      <c r="C112" s="11" t="s">
        <v>27</v>
      </c>
      <c r="D112" s="4">
        <v>2239.04</v>
      </c>
      <c r="E112" s="4"/>
      <c r="F112" s="16"/>
      <c r="G112" s="16"/>
      <c r="H112" s="16"/>
      <c r="I112" s="16">
        <v>871.92</v>
      </c>
      <c r="J112" s="16">
        <f>F112+I112</f>
        <v>871.92</v>
      </c>
      <c r="K112" s="16">
        <v>871.92</v>
      </c>
      <c r="L112" s="16">
        <v>871.92</v>
      </c>
    </row>
    <row r="113" spans="1:12" ht="39.75" customHeight="1" x14ac:dyDescent="0.25">
      <c r="A113" s="44" t="s">
        <v>169</v>
      </c>
      <c r="B113" s="37" t="s">
        <v>170</v>
      </c>
      <c r="C113" s="37"/>
      <c r="D113" s="36">
        <f t="shared" ref="D113:E113" si="68">D115</f>
        <v>1771.13</v>
      </c>
      <c r="E113" s="36">
        <f t="shared" si="68"/>
        <v>0</v>
      </c>
      <c r="F113" s="46" t="e">
        <f>#REF!+F114+F115</f>
        <v>#REF!</v>
      </c>
      <c r="G113" s="46" t="e">
        <f>#REF!+G114+G115</f>
        <v>#REF!</v>
      </c>
      <c r="H113" s="46" t="e">
        <f>#REF!+H114+H115</f>
        <v>#REF!</v>
      </c>
      <c r="I113" s="46" t="e">
        <f>#REF!+I114+I115</f>
        <v>#REF!</v>
      </c>
      <c r="J113" s="46" t="e">
        <f>#REF!+J114+J115</f>
        <v>#REF!</v>
      </c>
      <c r="K113" s="46">
        <f>K114+K115</f>
        <v>1771.1299999999999</v>
      </c>
      <c r="L113" s="46">
        <f>L114+L115</f>
        <v>1737.3799999999999</v>
      </c>
    </row>
    <row r="114" spans="1:12" ht="26.25" customHeight="1" x14ac:dyDescent="0.25">
      <c r="A114" s="10" t="s">
        <v>65</v>
      </c>
      <c r="B114" s="11" t="s">
        <v>170</v>
      </c>
      <c r="C114" s="11" t="s">
        <v>67</v>
      </c>
      <c r="D114" s="4">
        <v>1771.13</v>
      </c>
      <c r="E114" s="4"/>
      <c r="F114" s="16"/>
      <c r="G114" s="16"/>
      <c r="H114" s="16"/>
      <c r="I114" s="16">
        <v>89.25</v>
      </c>
      <c r="J114" s="16">
        <f>F114+I114</f>
        <v>89.25</v>
      </c>
      <c r="K114" s="16">
        <v>405.29</v>
      </c>
      <c r="L114" s="16">
        <v>371.54</v>
      </c>
    </row>
    <row r="115" spans="1:12" ht="34.5" customHeight="1" x14ac:dyDescent="0.25">
      <c r="A115" s="10" t="s">
        <v>337</v>
      </c>
      <c r="B115" s="11" t="s">
        <v>170</v>
      </c>
      <c r="C115" s="11" t="s">
        <v>27</v>
      </c>
      <c r="D115" s="4">
        <v>1771.13</v>
      </c>
      <c r="E115" s="4"/>
      <c r="F115" s="16"/>
      <c r="G115" s="16"/>
      <c r="H115" s="16"/>
      <c r="I115" s="16">
        <v>1365.84</v>
      </c>
      <c r="J115" s="16">
        <f>F115+I115</f>
        <v>1365.84</v>
      </c>
      <c r="K115" s="16">
        <v>1365.84</v>
      </c>
      <c r="L115" s="16">
        <v>1365.84</v>
      </c>
    </row>
    <row r="116" spans="1:12" ht="41.25" customHeight="1" x14ac:dyDescent="0.25">
      <c r="A116" s="44" t="s">
        <v>117</v>
      </c>
      <c r="B116" s="37" t="s">
        <v>118</v>
      </c>
      <c r="C116" s="37"/>
      <c r="D116" s="36">
        <f t="shared" ref="D116:I116" si="69">D118</f>
        <v>3280</v>
      </c>
      <c r="E116" s="36">
        <f t="shared" si="69"/>
        <v>0</v>
      </c>
      <c r="F116" s="46">
        <f t="shared" si="69"/>
        <v>3280</v>
      </c>
      <c r="G116" s="46">
        <f t="shared" si="69"/>
        <v>0</v>
      </c>
      <c r="H116" s="46">
        <f t="shared" si="69"/>
        <v>0</v>
      </c>
      <c r="I116" s="46">
        <f t="shared" si="69"/>
        <v>47.09</v>
      </c>
      <c r="J116" s="46">
        <f>J117+J118</f>
        <v>3327.09</v>
      </c>
      <c r="K116" s="46">
        <f>K117+K118</f>
        <v>3321.09</v>
      </c>
      <c r="L116" s="46">
        <f>L117+L118</f>
        <v>3321.02</v>
      </c>
    </row>
    <row r="117" spans="1:12" ht="39" customHeight="1" x14ac:dyDescent="0.25">
      <c r="A117" s="10" t="s">
        <v>33</v>
      </c>
      <c r="B117" s="11" t="s">
        <v>118</v>
      </c>
      <c r="C117" s="11" t="s">
        <v>34</v>
      </c>
      <c r="D117" s="4">
        <v>3280</v>
      </c>
      <c r="E117" s="4"/>
      <c r="F117" s="16">
        <f>D117+E117</f>
        <v>3280</v>
      </c>
      <c r="G117" s="16"/>
      <c r="H117" s="16"/>
      <c r="I117" s="16">
        <v>47.09</v>
      </c>
      <c r="J117" s="16">
        <f>F117+I117</f>
        <v>3327.09</v>
      </c>
      <c r="K117" s="16">
        <v>7.0000000000000007E-2</v>
      </c>
      <c r="L117" s="16">
        <v>0</v>
      </c>
    </row>
    <row r="118" spans="1:12" ht="36" customHeight="1" x14ac:dyDescent="0.25">
      <c r="A118" s="10" t="s">
        <v>337</v>
      </c>
      <c r="B118" s="11" t="s">
        <v>118</v>
      </c>
      <c r="C118" s="11" t="s">
        <v>27</v>
      </c>
      <c r="D118" s="4">
        <v>3280</v>
      </c>
      <c r="E118" s="4"/>
      <c r="F118" s="16">
        <f>D118+E118</f>
        <v>3280</v>
      </c>
      <c r="G118" s="16"/>
      <c r="H118" s="16"/>
      <c r="I118" s="16">
        <v>47.09</v>
      </c>
      <c r="J118" s="16">
        <v>0</v>
      </c>
      <c r="K118" s="16">
        <v>3321.02</v>
      </c>
      <c r="L118" s="16">
        <v>3321.02</v>
      </c>
    </row>
    <row r="119" spans="1:12" ht="25.5" customHeight="1" x14ac:dyDescent="0.25">
      <c r="A119" s="44" t="s">
        <v>119</v>
      </c>
      <c r="B119" s="37" t="s">
        <v>120</v>
      </c>
      <c r="C119" s="37"/>
      <c r="D119" s="36">
        <f t="shared" ref="D119:L119" si="70">D120</f>
        <v>100</v>
      </c>
      <c r="E119" s="36">
        <f t="shared" si="70"/>
        <v>0</v>
      </c>
      <c r="F119" s="46">
        <f t="shared" si="70"/>
        <v>100</v>
      </c>
      <c r="G119" s="46">
        <f t="shared" si="70"/>
        <v>0</v>
      </c>
      <c r="H119" s="46">
        <f t="shared" si="70"/>
        <v>0</v>
      </c>
      <c r="I119" s="46">
        <f t="shared" si="70"/>
        <v>-99.6</v>
      </c>
      <c r="J119" s="46">
        <f t="shared" si="70"/>
        <v>0.40000000000000568</v>
      </c>
      <c r="K119" s="46">
        <f t="shared" si="70"/>
        <v>0.4</v>
      </c>
      <c r="L119" s="46">
        <f t="shared" si="70"/>
        <v>0</v>
      </c>
    </row>
    <row r="120" spans="1:12" ht="32.25" customHeight="1" x14ac:dyDescent="0.25">
      <c r="A120" s="10" t="s">
        <v>33</v>
      </c>
      <c r="B120" s="11" t="s">
        <v>120</v>
      </c>
      <c r="C120" s="11" t="s">
        <v>34</v>
      </c>
      <c r="D120" s="4">
        <v>100</v>
      </c>
      <c r="E120" s="4"/>
      <c r="F120" s="16">
        <f>D120+E120</f>
        <v>100</v>
      </c>
      <c r="G120" s="16"/>
      <c r="H120" s="16"/>
      <c r="I120" s="16">
        <v>-99.6</v>
      </c>
      <c r="J120" s="16">
        <f>F120+I120</f>
        <v>0.40000000000000568</v>
      </c>
      <c r="K120" s="16">
        <v>0.4</v>
      </c>
      <c r="L120" s="16">
        <v>0</v>
      </c>
    </row>
    <row r="121" spans="1:12" ht="24" customHeight="1" x14ac:dyDescent="0.25">
      <c r="A121" s="26" t="s">
        <v>3</v>
      </c>
      <c r="B121" s="25" t="s">
        <v>122</v>
      </c>
      <c r="C121" s="25"/>
      <c r="D121" s="26">
        <f t="shared" ref="D121:J121" si="71">D123</f>
        <v>100</v>
      </c>
      <c r="E121" s="26">
        <f t="shared" si="71"/>
        <v>0</v>
      </c>
      <c r="F121" s="27">
        <f t="shared" si="71"/>
        <v>100</v>
      </c>
      <c r="G121" s="27">
        <f t="shared" si="71"/>
        <v>0</v>
      </c>
      <c r="H121" s="27">
        <f t="shared" si="71"/>
        <v>0</v>
      </c>
      <c r="I121" s="27">
        <f t="shared" si="71"/>
        <v>0</v>
      </c>
      <c r="J121" s="27">
        <f t="shared" si="71"/>
        <v>100</v>
      </c>
      <c r="K121" s="27">
        <f t="shared" ref="K121:L121" si="72">K123</f>
        <v>100</v>
      </c>
      <c r="L121" s="27">
        <f t="shared" si="72"/>
        <v>20.9</v>
      </c>
    </row>
    <row r="122" spans="1:12" ht="54" customHeight="1" x14ac:dyDescent="0.25">
      <c r="A122" s="21" t="s">
        <v>121</v>
      </c>
      <c r="B122" s="22" t="s">
        <v>122</v>
      </c>
      <c r="C122" s="22"/>
      <c r="D122" s="23">
        <f t="shared" ref="D122:L123" si="73">D123</f>
        <v>100</v>
      </c>
      <c r="E122" s="23">
        <f t="shared" si="73"/>
        <v>0</v>
      </c>
      <c r="F122" s="28">
        <f t="shared" si="73"/>
        <v>100</v>
      </c>
      <c r="G122" s="28">
        <f t="shared" si="73"/>
        <v>0</v>
      </c>
      <c r="H122" s="28">
        <f t="shared" si="73"/>
        <v>0</v>
      </c>
      <c r="I122" s="28">
        <f t="shared" si="73"/>
        <v>0</v>
      </c>
      <c r="J122" s="28">
        <f t="shared" si="73"/>
        <v>100</v>
      </c>
      <c r="K122" s="28">
        <f t="shared" si="73"/>
        <v>100</v>
      </c>
      <c r="L122" s="28">
        <f t="shared" si="73"/>
        <v>20.9</v>
      </c>
    </row>
    <row r="123" spans="1:12" ht="35.25" customHeight="1" x14ac:dyDescent="0.25">
      <c r="A123" s="45" t="s">
        <v>16</v>
      </c>
      <c r="B123" s="37" t="s">
        <v>122</v>
      </c>
      <c r="C123" s="37"/>
      <c r="D123" s="36">
        <f t="shared" si="73"/>
        <v>100</v>
      </c>
      <c r="E123" s="36">
        <f t="shared" si="73"/>
        <v>0</v>
      </c>
      <c r="F123" s="46">
        <f t="shared" si="73"/>
        <v>100</v>
      </c>
      <c r="G123" s="46">
        <f t="shared" si="73"/>
        <v>0</v>
      </c>
      <c r="H123" s="46">
        <f t="shared" si="73"/>
        <v>0</v>
      </c>
      <c r="I123" s="46">
        <f t="shared" si="73"/>
        <v>0</v>
      </c>
      <c r="J123" s="46">
        <f t="shared" si="73"/>
        <v>100</v>
      </c>
      <c r="K123" s="46">
        <f t="shared" si="73"/>
        <v>100</v>
      </c>
      <c r="L123" s="46">
        <f t="shared" si="73"/>
        <v>20.9</v>
      </c>
    </row>
    <row r="124" spans="1:12" ht="37.5" customHeight="1" x14ac:dyDescent="0.25">
      <c r="A124" s="12" t="s">
        <v>33</v>
      </c>
      <c r="B124" s="11" t="s">
        <v>122</v>
      </c>
      <c r="C124" s="11" t="s">
        <v>34</v>
      </c>
      <c r="D124" s="4">
        <v>100</v>
      </c>
      <c r="E124" s="4"/>
      <c r="F124" s="16">
        <f>D124+E124</f>
        <v>100</v>
      </c>
      <c r="G124" s="16"/>
      <c r="H124" s="16"/>
      <c r="I124" s="16"/>
      <c r="J124" s="16">
        <f>F124</f>
        <v>100</v>
      </c>
      <c r="K124" s="16">
        <v>100</v>
      </c>
      <c r="L124" s="16">
        <v>20.9</v>
      </c>
    </row>
    <row r="125" spans="1:12" ht="26.25" customHeight="1" x14ac:dyDescent="0.25">
      <c r="A125" s="82" t="s">
        <v>123</v>
      </c>
      <c r="B125" s="83" t="s">
        <v>320</v>
      </c>
      <c r="C125" s="25"/>
      <c r="D125" s="26">
        <f t="shared" ref="D125:L125" si="74">D126</f>
        <v>3075.8900000000003</v>
      </c>
      <c r="E125" s="26">
        <f t="shared" si="74"/>
        <v>0</v>
      </c>
      <c r="F125" s="27">
        <f t="shared" si="74"/>
        <v>6966.1</v>
      </c>
      <c r="G125" s="27">
        <f t="shared" si="74"/>
        <v>0</v>
      </c>
      <c r="H125" s="27">
        <f t="shared" si="74"/>
        <v>0</v>
      </c>
      <c r="I125" s="27">
        <f t="shared" si="74"/>
        <v>0</v>
      </c>
      <c r="J125" s="27">
        <f t="shared" si="74"/>
        <v>5892.43</v>
      </c>
      <c r="K125" s="27">
        <f t="shared" si="74"/>
        <v>5544</v>
      </c>
      <c r="L125" s="27">
        <f t="shared" si="74"/>
        <v>5544</v>
      </c>
    </row>
    <row r="126" spans="1:12" ht="45.75" customHeight="1" x14ac:dyDescent="0.25">
      <c r="A126" s="84" t="s">
        <v>367</v>
      </c>
      <c r="B126" s="85" t="s">
        <v>320</v>
      </c>
      <c r="C126" s="22"/>
      <c r="D126" s="23">
        <f t="shared" ref="D126:J126" si="75">D127+D129</f>
        <v>3075.8900000000003</v>
      </c>
      <c r="E126" s="23">
        <f t="shared" si="75"/>
        <v>0</v>
      </c>
      <c r="F126" s="28">
        <f t="shared" si="75"/>
        <v>6966.1</v>
      </c>
      <c r="G126" s="28">
        <f t="shared" si="75"/>
        <v>0</v>
      </c>
      <c r="H126" s="28">
        <f t="shared" si="75"/>
        <v>0</v>
      </c>
      <c r="I126" s="28">
        <f t="shared" si="75"/>
        <v>0</v>
      </c>
      <c r="J126" s="28">
        <f t="shared" si="75"/>
        <v>5892.43</v>
      </c>
      <c r="K126" s="28">
        <f t="shared" ref="K126:L126" si="76">K127+K129</f>
        <v>5544</v>
      </c>
      <c r="L126" s="28">
        <f t="shared" si="76"/>
        <v>5544</v>
      </c>
    </row>
    <row r="127" spans="1:12" ht="40.5" customHeight="1" x14ac:dyDescent="0.25">
      <c r="A127" s="75" t="s">
        <v>171</v>
      </c>
      <c r="B127" s="76" t="s">
        <v>319</v>
      </c>
      <c r="C127" s="22"/>
      <c r="D127" s="36">
        <f t="shared" ref="D127:L127" si="77">D128</f>
        <v>2718.11</v>
      </c>
      <c r="E127" s="36">
        <f t="shared" si="77"/>
        <v>0</v>
      </c>
      <c r="F127" s="46">
        <f t="shared" si="77"/>
        <v>2718.11</v>
      </c>
      <c r="G127" s="46">
        <f t="shared" si="77"/>
        <v>0</v>
      </c>
      <c r="H127" s="46">
        <f t="shared" si="77"/>
        <v>0</v>
      </c>
      <c r="I127" s="46">
        <f t="shared" si="77"/>
        <v>0</v>
      </c>
      <c r="J127" s="46">
        <f t="shared" si="77"/>
        <v>2462.86</v>
      </c>
      <c r="K127" s="46">
        <f t="shared" si="77"/>
        <v>2114.4299999999998</v>
      </c>
      <c r="L127" s="46">
        <f t="shared" si="77"/>
        <v>2114.4299999999998</v>
      </c>
    </row>
    <row r="128" spans="1:12" ht="26.25" customHeight="1" x14ac:dyDescent="0.25">
      <c r="A128" s="86" t="s">
        <v>65</v>
      </c>
      <c r="B128" s="87" t="s">
        <v>319</v>
      </c>
      <c r="C128" s="11" t="s">
        <v>67</v>
      </c>
      <c r="D128" s="4">
        <v>2718.11</v>
      </c>
      <c r="E128" s="4"/>
      <c r="F128" s="16">
        <f>D128+E128</f>
        <v>2718.11</v>
      </c>
      <c r="G128" s="16"/>
      <c r="H128" s="16"/>
      <c r="I128" s="16"/>
      <c r="J128" s="16">
        <f>F128+I128-250-5.25</f>
        <v>2462.86</v>
      </c>
      <c r="K128" s="16">
        <v>2114.4299999999998</v>
      </c>
      <c r="L128" s="16">
        <v>2114.4299999999998</v>
      </c>
    </row>
    <row r="129" spans="1:12" ht="36.75" customHeight="1" x14ac:dyDescent="0.25">
      <c r="A129" s="75" t="s">
        <v>325</v>
      </c>
      <c r="B129" s="76" t="s">
        <v>319</v>
      </c>
      <c r="C129" s="37"/>
      <c r="D129" s="36">
        <f t="shared" ref="D129:L129" si="78">D130</f>
        <v>357.78</v>
      </c>
      <c r="E129" s="36">
        <f t="shared" si="78"/>
        <v>0</v>
      </c>
      <c r="F129" s="46">
        <f t="shared" si="78"/>
        <v>4247.99</v>
      </c>
      <c r="G129" s="46">
        <f t="shared" si="78"/>
        <v>0</v>
      </c>
      <c r="H129" s="46">
        <f t="shared" si="78"/>
        <v>0</v>
      </c>
      <c r="I129" s="46">
        <f t="shared" si="78"/>
        <v>0</v>
      </c>
      <c r="J129" s="46">
        <f t="shared" si="78"/>
        <v>3429.5699999999997</v>
      </c>
      <c r="K129" s="46">
        <f t="shared" si="78"/>
        <v>3429.57</v>
      </c>
      <c r="L129" s="46">
        <f t="shared" si="78"/>
        <v>3429.57</v>
      </c>
    </row>
    <row r="130" spans="1:12" ht="25.5" customHeight="1" x14ac:dyDescent="0.25">
      <c r="A130" s="12" t="s">
        <v>65</v>
      </c>
      <c r="B130" s="11" t="s">
        <v>319</v>
      </c>
      <c r="C130" s="11" t="s">
        <v>67</v>
      </c>
      <c r="D130" s="4">
        <v>357.78</v>
      </c>
      <c r="E130" s="4"/>
      <c r="F130" s="16">
        <f>D130+E130+3890.21</f>
        <v>4247.99</v>
      </c>
      <c r="G130" s="16"/>
      <c r="H130" s="16"/>
      <c r="I130" s="16"/>
      <c r="J130" s="16">
        <f>F130+H130-818.42</f>
        <v>3429.5699999999997</v>
      </c>
      <c r="K130" s="16">
        <v>3429.57</v>
      </c>
      <c r="L130" s="16">
        <v>3429.57</v>
      </c>
    </row>
    <row r="131" spans="1:12" ht="23.25" customHeight="1" x14ac:dyDescent="0.25">
      <c r="A131" s="5" t="s">
        <v>4</v>
      </c>
      <c r="B131" s="7" t="s">
        <v>126</v>
      </c>
      <c r="C131" s="7"/>
      <c r="D131" s="15">
        <f>D132+D136+D140+D144+D149+D147</f>
        <v>54137.69</v>
      </c>
      <c r="E131" s="15" t="e">
        <f>E132+E136+E140+E144+E149+E147+#REF!</f>
        <v>#REF!</v>
      </c>
      <c r="F131" s="15">
        <f t="shared" ref="F131:K131" si="79">F132+F136+F140+F144+F149+F147+F152+F154</f>
        <v>59904.639999999999</v>
      </c>
      <c r="G131" s="15">
        <f t="shared" si="79"/>
        <v>2481.13</v>
      </c>
      <c r="H131" s="15">
        <f t="shared" si="79"/>
        <v>-0.01</v>
      </c>
      <c r="I131" s="15">
        <f t="shared" si="79"/>
        <v>1000</v>
      </c>
      <c r="J131" s="15">
        <f t="shared" si="79"/>
        <v>63385.760000000002</v>
      </c>
      <c r="K131" s="15">
        <f t="shared" si="79"/>
        <v>71174.76999999999</v>
      </c>
      <c r="L131" s="15">
        <f t="shared" ref="L131" si="80">L132+L136+L140+L144+L149+L147+L152+L154</f>
        <v>70298.83</v>
      </c>
    </row>
    <row r="132" spans="1:12" ht="72" customHeight="1" x14ac:dyDescent="0.25">
      <c r="A132" s="21" t="s">
        <v>124</v>
      </c>
      <c r="B132" s="22" t="s">
        <v>129</v>
      </c>
      <c r="C132" s="22"/>
      <c r="D132" s="28">
        <f t="shared" ref="D132:L132" si="81">D133</f>
        <v>14000</v>
      </c>
      <c r="E132" s="28">
        <f t="shared" si="81"/>
        <v>0</v>
      </c>
      <c r="F132" s="28">
        <f t="shared" si="81"/>
        <v>14000</v>
      </c>
      <c r="G132" s="28">
        <f t="shared" si="81"/>
        <v>1309.08</v>
      </c>
      <c r="H132" s="28">
        <f t="shared" si="81"/>
        <v>0</v>
      </c>
      <c r="I132" s="28">
        <f t="shared" si="81"/>
        <v>0</v>
      </c>
      <c r="J132" s="28">
        <f t="shared" si="81"/>
        <v>15309.08</v>
      </c>
      <c r="K132" s="28">
        <f t="shared" si="81"/>
        <v>15409.16</v>
      </c>
      <c r="L132" s="28">
        <f t="shared" si="81"/>
        <v>14988.79</v>
      </c>
    </row>
    <row r="133" spans="1:12" ht="37.5" customHeight="1" x14ac:dyDescent="0.25">
      <c r="A133" s="44" t="s">
        <v>125</v>
      </c>
      <c r="B133" s="37" t="s">
        <v>129</v>
      </c>
      <c r="C133" s="37"/>
      <c r="D133" s="46">
        <f>D135</f>
        <v>14000</v>
      </c>
      <c r="E133" s="46">
        <f>E135</f>
        <v>0</v>
      </c>
      <c r="F133" s="46">
        <f>F134+F135</f>
        <v>14000</v>
      </c>
      <c r="G133" s="46">
        <f t="shared" ref="G133:J133" si="82">G134+G135</f>
        <v>1309.08</v>
      </c>
      <c r="H133" s="46">
        <f t="shared" si="82"/>
        <v>0</v>
      </c>
      <c r="I133" s="46">
        <f t="shared" si="82"/>
        <v>0</v>
      </c>
      <c r="J133" s="46">
        <f t="shared" si="82"/>
        <v>15309.08</v>
      </c>
      <c r="K133" s="46">
        <f t="shared" ref="K133:L133" si="83">K134+K135</f>
        <v>15409.16</v>
      </c>
      <c r="L133" s="46">
        <f t="shared" si="83"/>
        <v>14988.79</v>
      </c>
    </row>
    <row r="134" spans="1:12" ht="31.5" customHeight="1" x14ac:dyDescent="0.25">
      <c r="A134" s="10" t="s">
        <v>33</v>
      </c>
      <c r="B134" s="11" t="s">
        <v>129</v>
      </c>
      <c r="C134" s="11" t="s">
        <v>34</v>
      </c>
      <c r="D134" s="16">
        <v>14000</v>
      </c>
      <c r="E134" s="16"/>
      <c r="F134" s="16"/>
      <c r="G134" s="16">
        <v>1309.08</v>
      </c>
      <c r="H134" s="16"/>
      <c r="I134" s="16"/>
      <c r="J134" s="16">
        <f>F134+G134+I134</f>
        <v>1309.08</v>
      </c>
      <c r="K134" s="16">
        <v>1409.16</v>
      </c>
      <c r="L134" s="16">
        <v>988.79</v>
      </c>
    </row>
    <row r="135" spans="1:12" ht="39.75" customHeight="1" x14ac:dyDescent="0.25">
      <c r="A135" s="10" t="s">
        <v>337</v>
      </c>
      <c r="B135" s="11" t="s">
        <v>129</v>
      </c>
      <c r="C135" s="11" t="s">
        <v>27</v>
      </c>
      <c r="D135" s="16">
        <v>14000</v>
      </c>
      <c r="E135" s="16"/>
      <c r="F135" s="16">
        <f>D135+E135</f>
        <v>14000</v>
      </c>
      <c r="G135" s="16"/>
      <c r="H135" s="16"/>
      <c r="I135" s="16"/>
      <c r="J135" s="16">
        <f>F135+G135+I135</f>
        <v>14000</v>
      </c>
      <c r="K135" s="16">
        <v>14000</v>
      </c>
      <c r="L135" s="16">
        <v>14000</v>
      </c>
    </row>
    <row r="136" spans="1:12" ht="44.25" customHeight="1" x14ac:dyDescent="0.25">
      <c r="A136" s="21" t="s">
        <v>127</v>
      </c>
      <c r="B136" s="22" t="s">
        <v>128</v>
      </c>
      <c r="C136" s="22"/>
      <c r="D136" s="28">
        <f t="shared" ref="D136:L136" si="84">D137</f>
        <v>35100</v>
      </c>
      <c r="E136" s="28">
        <f t="shared" si="84"/>
        <v>200</v>
      </c>
      <c r="F136" s="28">
        <f t="shared" si="84"/>
        <v>35300</v>
      </c>
      <c r="G136" s="28">
        <f t="shared" si="84"/>
        <v>772.26</v>
      </c>
      <c r="H136" s="28">
        <f t="shared" si="84"/>
        <v>0</v>
      </c>
      <c r="I136" s="28">
        <f t="shared" si="84"/>
        <v>1000</v>
      </c>
      <c r="J136" s="28">
        <f t="shared" si="84"/>
        <v>37072.26</v>
      </c>
      <c r="K136" s="28">
        <f t="shared" si="84"/>
        <v>42018.46</v>
      </c>
      <c r="L136" s="28">
        <f t="shared" si="84"/>
        <v>41576.120000000003</v>
      </c>
    </row>
    <row r="137" spans="1:12" ht="42" customHeight="1" x14ac:dyDescent="0.25">
      <c r="A137" s="44" t="s">
        <v>130</v>
      </c>
      <c r="B137" s="37" t="s">
        <v>128</v>
      </c>
      <c r="C137" s="37"/>
      <c r="D137" s="46">
        <f>D139</f>
        <v>35100</v>
      </c>
      <c r="E137" s="46">
        <f>E139</f>
        <v>200</v>
      </c>
      <c r="F137" s="46">
        <f>F138+F139</f>
        <v>35300</v>
      </c>
      <c r="G137" s="46">
        <f t="shared" ref="G137:J137" si="85">G138+G139</f>
        <v>772.26</v>
      </c>
      <c r="H137" s="46">
        <f t="shared" si="85"/>
        <v>0</v>
      </c>
      <c r="I137" s="46">
        <f t="shared" si="85"/>
        <v>1000</v>
      </c>
      <c r="J137" s="46">
        <f t="shared" si="85"/>
        <v>37072.26</v>
      </c>
      <c r="K137" s="46">
        <f t="shared" ref="K137:L137" si="86">K138+K139</f>
        <v>42018.46</v>
      </c>
      <c r="L137" s="46">
        <f t="shared" si="86"/>
        <v>41576.120000000003</v>
      </c>
    </row>
    <row r="138" spans="1:12" ht="39" customHeight="1" x14ac:dyDescent="0.25">
      <c r="A138" s="10" t="s">
        <v>33</v>
      </c>
      <c r="B138" s="11" t="s">
        <v>128</v>
      </c>
      <c r="C138" s="11" t="s">
        <v>34</v>
      </c>
      <c r="D138" s="16">
        <v>35100</v>
      </c>
      <c r="E138" s="16">
        <v>200</v>
      </c>
      <c r="F138" s="16"/>
      <c r="G138" s="16">
        <v>772.26</v>
      </c>
      <c r="H138" s="16"/>
      <c r="I138" s="16"/>
      <c r="J138" s="16">
        <f>F138+G138+I138</f>
        <v>772.26</v>
      </c>
      <c r="K138" s="16">
        <v>5718.46</v>
      </c>
      <c r="L138" s="16">
        <v>5276.12</v>
      </c>
    </row>
    <row r="139" spans="1:12" ht="39" customHeight="1" x14ac:dyDescent="0.25">
      <c r="A139" s="10" t="s">
        <v>337</v>
      </c>
      <c r="B139" s="11" t="s">
        <v>128</v>
      </c>
      <c r="C139" s="11" t="s">
        <v>27</v>
      </c>
      <c r="D139" s="16">
        <v>35100</v>
      </c>
      <c r="E139" s="16">
        <v>200</v>
      </c>
      <c r="F139" s="16">
        <f>D139+E139</f>
        <v>35300</v>
      </c>
      <c r="G139" s="16"/>
      <c r="H139" s="16"/>
      <c r="I139" s="16">
        <f>150-150+1000</f>
        <v>1000</v>
      </c>
      <c r="J139" s="16">
        <f>F139+G139+I139</f>
        <v>36300</v>
      </c>
      <c r="K139" s="16">
        <v>36300</v>
      </c>
      <c r="L139" s="16">
        <v>36300</v>
      </c>
    </row>
    <row r="140" spans="1:12" ht="35.25" customHeight="1" x14ac:dyDescent="0.25">
      <c r="A140" s="21" t="s">
        <v>131</v>
      </c>
      <c r="B140" s="22" t="s">
        <v>133</v>
      </c>
      <c r="C140" s="22"/>
      <c r="D140" s="28">
        <f t="shared" ref="D140:L140" si="87">D141</f>
        <v>4100</v>
      </c>
      <c r="E140" s="28">
        <f t="shared" si="87"/>
        <v>0</v>
      </c>
      <c r="F140" s="28">
        <f t="shared" si="87"/>
        <v>4100</v>
      </c>
      <c r="G140" s="28">
        <f t="shared" si="87"/>
        <v>19.989999999999998</v>
      </c>
      <c r="H140" s="28">
        <f t="shared" si="87"/>
        <v>0</v>
      </c>
      <c r="I140" s="28">
        <f t="shared" si="87"/>
        <v>0</v>
      </c>
      <c r="J140" s="28">
        <f t="shared" si="87"/>
        <v>4119.99</v>
      </c>
      <c r="K140" s="28">
        <f t="shared" si="87"/>
        <v>4906.71</v>
      </c>
      <c r="L140" s="28">
        <f t="shared" si="87"/>
        <v>4895.04</v>
      </c>
    </row>
    <row r="141" spans="1:12" ht="30" customHeight="1" x14ac:dyDescent="0.25">
      <c r="A141" s="44" t="s">
        <v>132</v>
      </c>
      <c r="B141" s="37" t="s">
        <v>133</v>
      </c>
      <c r="C141" s="37"/>
      <c r="D141" s="46">
        <f>D143</f>
        <v>4100</v>
      </c>
      <c r="E141" s="46">
        <f>E143</f>
        <v>0</v>
      </c>
      <c r="F141" s="46">
        <f>F142+F143</f>
        <v>4100</v>
      </c>
      <c r="G141" s="46">
        <f t="shared" ref="G141:I141" si="88">G142+G143</f>
        <v>19.989999999999998</v>
      </c>
      <c r="H141" s="46">
        <f t="shared" si="88"/>
        <v>0</v>
      </c>
      <c r="I141" s="46">
        <f t="shared" si="88"/>
        <v>0</v>
      </c>
      <c r="J141" s="46">
        <f>J142+J143</f>
        <v>4119.99</v>
      </c>
      <c r="K141" s="46">
        <f t="shared" ref="K141:L141" si="89">K142+K143</f>
        <v>4906.71</v>
      </c>
      <c r="L141" s="46">
        <f t="shared" si="89"/>
        <v>4895.04</v>
      </c>
    </row>
    <row r="142" spans="1:12" ht="41.25" customHeight="1" x14ac:dyDescent="0.25">
      <c r="A142" s="10" t="s">
        <v>33</v>
      </c>
      <c r="B142" s="11" t="s">
        <v>133</v>
      </c>
      <c r="C142" s="11" t="s">
        <v>34</v>
      </c>
      <c r="D142" s="16">
        <v>4100</v>
      </c>
      <c r="E142" s="16"/>
      <c r="F142" s="16"/>
      <c r="G142" s="16">
        <v>19.989999999999998</v>
      </c>
      <c r="H142" s="16"/>
      <c r="I142" s="16"/>
      <c r="J142" s="16">
        <f>F142+G142+I142</f>
        <v>19.989999999999998</v>
      </c>
      <c r="K142" s="16">
        <v>806.71</v>
      </c>
      <c r="L142" s="16">
        <v>795.04</v>
      </c>
    </row>
    <row r="143" spans="1:12" ht="41.25" customHeight="1" x14ac:dyDescent="0.25">
      <c r="A143" s="10" t="s">
        <v>337</v>
      </c>
      <c r="B143" s="11" t="s">
        <v>133</v>
      </c>
      <c r="C143" s="11" t="s">
        <v>27</v>
      </c>
      <c r="D143" s="16">
        <v>4100</v>
      </c>
      <c r="E143" s="16"/>
      <c r="F143" s="16">
        <f>D143+E143</f>
        <v>4100</v>
      </c>
      <c r="G143" s="16"/>
      <c r="H143" s="16"/>
      <c r="I143" s="16"/>
      <c r="J143" s="16">
        <f>F143+G143+I143</f>
        <v>4100</v>
      </c>
      <c r="K143" s="16">
        <v>4100</v>
      </c>
      <c r="L143" s="16">
        <v>4100</v>
      </c>
    </row>
    <row r="144" spans="1:12" ht="31.5" customHeight="1" x14ac:dyDescent="0.25">
      <c r="A144" s="21" t="s">
        <v>134</v>
      </c>
      <c r="B144" s="22" t="s">
        <v>135</v>
      </c>
      <c r="C144" s="22"/>
      <c r="D144" s="23">
        <f t="shared" ref="D144:L145" si="90">D145</f>
        <v>420</v>
      </c>
      <c r="E144" s="23">
        <f t="shared" si="90"/>
        <v>0</v>
      </c>
      <c r="F144" s="28">
        <f t="shared" si="90"/>
        <v>420</v>
      </c>
      <c r="G144" s="28">
        <f t="shared" si="90"/>
        <v>0</v>
      </c>
      <c r="H144" s="28">
        <f t="shared" si="90"/>
        <v>0</v>
      </c>
      <c r="I144" s="28">
        <f t="shared" si="90"/>
        <v>0</v>
      </c>
      <c r="J144" s="28">
        <f t="shared" si="90"/>
        <v>420</v>
      </c>
      <c r="K144" s="28">
        <f t="shared" si="90"/>
        <v>420</v>
      </c>
      <c r="L144" s="28">
        <f t="shared" si="90"/>
        <v>420</v>
      </c>
    </row>
    <row r="145" spans="1:12" s="2" customFormat="1" ht="33" customHeight="1" x14ac:dyDescent="0.25">
      <c r="A145" s="44" t="s">
        <v>11</v>
      </c>
      <c r="B145" s="37" t="s">
        <v>135</v>
      </c>
      <c r="C145" s="37"/>
      <c r="D145" s="36">
        <f t="shared" si="90"/>
        <v>420</v>
      </c>
      <c r="E145" s="36">
        <f t="shared" si="90"/>
        <v>0</v>
      </c>
      <c r="F145" s="46">
        <f t="shared" si="90"/>
        <v>420</v>
      </c>
      <c r="G145" s="46">
        <f t="shared" si="90"/>
        <v>0</v>
      </c>
      <c r="H145" s="46">
        <f t="shared" si="90"/>
        <v>0</v>
      </c>
      <c r="I145" s="46">
        <f t="shared" si="90"/>
        <v>0</v>
      </c>
      <c r="J145" s="46">
        <f t="shared" si="90"/>
        <v>420</v>
      </c>
      <c r="K145" s="46">
        <f t="shared" si="90"/>
        <v>420</v>
      </c>
      <c r="L145" s="46">
        <f t="shared" si="90"/>
        <v>420</v>
      </c>
    </row>
    <row r="146" spans="1:12" s="2" customFormat="1" ht="34.5" customHeight="1" x14ac:dyDescent="0.25">
      <c r="A146" s="10" t="s">
        <v>33</v>
      </c>
      <c r="B146" s="11" t="s">
        <v>135</v>
      </c>
      <c r="C146" s="11" t="s">
        <v>34</v>
      </c>
      <c r="D146" s="4">
        <v>420</v>
      </c>
      <c r="E146" s="4"/>
      <c r="F146" s="16">
        <f>D146+E146</f>
        <v>420</v>
      </c>
      <c r="G146" s="16"/>
      <c r="H146" s="16"/>
      <c r="I146" s="16"/>
      <c r="J146" s="16">
        <f>F146+I146</f>
        <v>420</v>
      </c>
      <c r="K146" s="16">
        <v>420</v>
      </c>
      <c r="L146" s="16">
        <v>420</v>
      </c>
    </row>
    <row r="147" spans="1:12" s="2" customFormat="1" ht="30" customHeight="1" x14ac:dyDescent="0.25">
      <c r="A147" s="44" t="s">
        <v>198</v>
      </c>
      <c r="B147" s="37" t="s">
        <v>199</v>
      </c>
      <c r="C147" s="37"/>
      <c r="D147" s="36">
        <f t="shared" ref="D147:L147" si="91">D148</f>
        <v>517.69000000000005</v>
      </c>
      <c r="E147" s="36">
        <f t="shared" si="91"/>
        <v>0</v>
      </c>
      <c r="F147" s="46">
        <f t="shared" si="91"/>
        <v>584.6400000000001</v>
      </c>
      <c r="G147" s="46">
        <f t="shared" si="91"/>
        <v>0</v>
      </c>
      <c r="H147" s="46">
        <f t="shared" si="91"/>
        <v>-0.01</v>
      </c>
      <c r="I147" s="46">
        <f t="shared" si="91"/>
        <v>0</v>
      </c>
      <c r="J147" s="46">
        <f t="shared" si="91"/>
        <v>584.63000000000011</v>
      </c>
      <c r="K147" s="46">
        <f t="shared" si="91"/>
        <v>584.63</v>
      </c>
      <c r="L147" s="46">
        <f t="shared" si="91"/>
        <v>584.63</v>
      </c>
    </row>
    <row r="148" spans="1:12" s="2" customFormat="1" ht="44.45" customHeight="1" x14ac:dyDescent="0.25">
      <c r="A148" s="10" t="s">
        <v>33</v>
      </c>
      <c r="B148" s="11" t="s">
        <v>199</v>
      </c>
      <c r="C148" s="11" t="s">
        <v>34</v>
      </c>
      <c r="D148" s="4">
        <v>517.69000000000005</v>
      </c>
      <c r="E148" s="4"/>
      <c r="F148" s="16">
        <f>D148+E148+66.95</f>
        <v>584.6400000000001</v>
      </c>
      <c r="G148" s="16"/>
      <c r="H148" s="16">
        <v>-0.01</v>
      </c>
      <c r="I148" s="16"/>
      <c r="J148" s="16">
        <f>F148+H148</f>
        <v>584.63000000000011</v>
      </c>
      <c r="K148" s="16">
        <f>417.68+166.95</f>
        <v>584.63</v>
      </c>
      <c r="L148" s="16">
        <v>584.63</v>
      </c>
    </row>
    <row r="149" spans="1:12" s="2" customFormat="1" ht="33" customHeight="1" x14ac:dyDescent="0.25">
      <c r="A149" s="21" t="s">
        <v>145</v>
      </c>
      <c r="B149" s="22" t="s">
        <v>147</v>
      </c>
      <c r="C149" s="22"/>
      <c r="D149" s="23">
        <f t="shared" ref="D149:L150" si="92">D150</f>
        <v>0</v>
      </c>
      <c r="E149" s="23">
        <f t="shared" si="92"/>
        <v>5000</v>
      </c>
      <c r="F149" s="28">
        <f t="shared" si="92"/>
        <v>500</v>
      </c>
      <c r="G149" s="28">
        <f t="shared" si="92"/>
        <v>134.80000000000001</v>
      </c>
      <c r="H149" s="28">
        <f t="shared" si="92"/>
        <v>0</v>
      </c>
      <c r="I149" s="28">
        <f t="shared" si="92"/>
        <v>0</v>
      </c>
      <c r="J149" s="28">
        <f t="shared" si="92"/>
        <v>634.79999999999995</v>
      </c>
      <c r="K149" s="28">
        <f t="shared" si="92"/>
        <v>1430.0700000000002</v>
      </c>
      <c r="L149" s="28">
        <f t="shared" si="92"/>
        <v>1428.51</v>
      </c>
    </row>
    <row r="150" spans="1:12" s="2" customFormat="1" ht="35.25" customHeight="1" x14ac:dyDescent="0.25">
      <c r="A150" s="44" t="s">
        <v>146</v>
      </c>
      <c r="B150" s="37" t="s">
        <v>147</v>
      </c>
      <c r="C150" s="37"/>
      <c r="D150" s="36">
        <f>D155</f>
        <v>0</v>
      </c>
      <c r="E150" s="36">
        <f>E155</f>
        <v>5000</v>
      </c>
      <c r="F150" s="46">
        <f>F151</f>
        <v>500</v>
      </c>
      <c r="G150" s="46">
        <f t="shared" si="92"/>
        <v>134.80000000000001</v>
      </c>
      <c r="H150" s="46">
        <f t="shared" si="92"/>
        <v>0</v>
      </c>
      <c r="I150" s="46">
        <f t="shared" si="92"/>
        <v>0</v>
      </c>
      <c r="J150" s="46">
        <f t="shared" si="92"/>
        <v>634.79999999999995</v>
      </c>
      <c r="K150" s="46">
        <f t="shared" si="92"/>
        <v>1430.0700000000002</v>
      </c>
      <c r="L150" s="46">
        <f t="shared" si="92"/>
        <v>1428.51</v>
      </c>
    </row>
    <row r="151" spans="1:12" s="2" customFormat="1" ht="34.5" customHeight="1" x14ac:dyDescent="0.25">
      <c r="A151" s="10" t="s">
        <v>33</v>
      </c>
      <c r="B151" s="11" t="s">
        <v>147</v>
      </c>
      <c r="C151" s="11" t="s">
        <v>34</v>
      </c>
      <c r="D151" s="4">
        <v>500</v>
      </c>
      <c r="E151" s="4"/>
      <c r="F151" s="16">
        <f>D151+E151</f>
        <v>500</v>
      </c>
      <c r="G151" s="16">
        <v>134.80000000000001</v>
      </c>
      <c r="H151" s="16"/>
      <c r="I151" s="16"/>
      <c r="J151" s="16">
        <f>F151+G151</f>
        <v>634.79999999999995</v>
      </c>
      <c r="K151" s="16">
        <f>930.07+500</f>
        <v>1430.0700000000002</v>
      </c>
      <c r="L151" s="16">
        <v>1428.51</v>
      </c>
    </row>
    <row r="152" spans="1:12" s="71" customFormat="1" ht="52.5" customHeight="1" x14ac:dyDescent="0.25">
      <c r="A152" s="44" t="s">
        <v>275</v>
      </c>
      <c r="B152" s="37" t="s">
        <v>276</v>
      </c>
      <c r="C152" s="37"/>
      <c r="D152" s="36"/>
      <c r="E152" s="36"/>
      <c r="F152" s="46">
        <f>F153</f>
        <v>0</v>
      </c>
      <c r="G152" s="46">
        <f t="shared" ref="G152:L152" si="93">G153</f>
        <v>245</v>
      </c>
      <c r="H152" s="46">
        <f t="shared" si="93"/>
        <v>0</v>
      </c>
      <c r="I152" s="46">
        <f t="shared" si="93"/>
        <v>0</v>
      </c>
      <c r="J152" s="46">
        <f t="shared" si="93"/>
        <v>245</v>
      </c>
      <c r="K152" s="46">
        <f t="shared" si="93"/>
        <v>1405.74</v>
      </c>
      <c r="L152" s="46">
        <f t="shared" si="93"/>
        <v>1405.74</v>
      </c>
    </row>
    <row r="153" spans="1:12" s="2" customFormat="1" ht="35.25" customHeight="1" x14ac:dyDescent="0.25">
      <c r="A153" s="10" t="s">
        <v>33</v>
      </c>
      <c r="B153" s="11" t="s">
        <v>276</v>
      </c>
      <c r="C153" s="11" t="s">
        <v>34</v>
      </c>
      <c r="D153" s="4"/>
      <c r="E153" s="4"/>
      <c r="F153" s="16"/>
      <c r="G153" s="16">
        <v>245</v>
      </c>
      <c r="H153" s="16"/>
      <c r="I153" s="16"/>
      <c r="J153" s="16">
        <f>G153+I153</f>
        <v>245</v>
      </c>
      <c r="K153" s="16">
        <v>1405.74</v>
      </c>
      <c r="L153" s="16">
        <v>1405.74</v>
      </c>
    </row>
    <row r="154" spans="1:12" ht="53.25" customHeight="1" x14ac:dyDescent="0.25">
      <c r="A154" s="44" t="s">
        <v>343</v>
      </c>
      <c r="B154" s="37" t="s">
        <v>248</v>
      </c>
      <c r="C154" s="37"/>
      <c r="D154" s="46"/>
      <c r="E154" s="46">
        <f t="shared" ref="E154:L154" si="94">E155</f>
        <v>5000</v>
      </c>
      <c r="F154" s="46">
        <f t="shared" si="94"/>
        <v>5000</v>
      </c>
      <c r="G154" s="46">
        <f t="shared" si="94"/>
        <v>0</v>
      </c>
      <c r="H154" s="46">
        <f>H155</f>
        <v>0</v>
      </c>
      <c r="I154" s="46">
        <f t="shared" si="94"/>
        <v>0</v>
      </c>
      <c r="J154" s="46">
        <f t="shared" si="94"/>
        <v>5000</v>
      </c>
      <c r="K154" s="46">
        <f t="shared" si="94"/>
        <v>5000</v>
      </c>
      <c r="L154" s="46">
        <f t="shared" si="94"/>
        <v>5000</v>
      </c>
    </row>
    <row r="155" spans="1:12" ht="33.75" customHeight="1" x14ac:dyDescent="0.25">
      <c r="A155" s="10" t="s">
        <v>33</v>
      </c>
      <c r="B155" s="11" t="s">
        <v>248</v>
      </c>
      <c r="C155" s="11" t="s">
        <v>34</v>
      </c>
      <c r="D155" s="16"/>
      <c r="E155" s="16">
        <v>5000</v>
      </c>
      <c r="F155" s="16">
        <f>D155+E155</f>
        <v>5000</v>
      </c>
      <c r="G155" s="16"/>
      <c r="H155" s="16"/>
      <c r="I155" s="16"/>
      <c r="J155" s="16">
        <f>F155+H155</f>
        <v>5000</v>
      </c>
      <c r="K155" s="16">
        <v>5000</v>
      </c>
      <c r="L155" s="16">
        <v>5000</v>
      </c>
    </row>
    <row r="156" spans="1:12" ht="43.5" customHeight="1" x14ac:dyDescent="0.25">
      <c r="A156" s="5" t="s">
        <v>10</v>
      </c>
      <c r="B156" s="7" t="s">
        <v>54</v>
      </c>
      <c r="C156" s="7"/>
      <c r="D156" s="15" t="e">
        <f>D159+D162+#REF!+D193+#REF!</f>
        <v>#REF!</v>
      </c>
      <c r="E156" s="15" t="e">
        <f>E159+E162+#REF!+E193+#REF!+E199</f>
        <v>#REF!</v>
      </c>
      <c r="F156" s="15" t="e">
        <f>F157+F159+F162+#REF!+F192+F209+F213+F222</f>
        <v>#REF!</v>
      </c>
      <c r="G156" s="15" t="e">
        <f>G157+G159+G162+#REF!+G192+G209+G213+G222</f>
        <v>#REF!</v>
      </c>
      <c r="H156" s="15" t="e">
        <f>H157+H159+H162+#REF!+H192+H209+H213+H222</f>
        <v>#REF!</v>
      </c>
      <c r="I156" s="15" t="e">
        <f>I157+I159+I162+#REF!+I192+I209+I213+I222</f>
        <v>#REF!</v>
      </c>
      <c r="J156" s="15">
        <f>J157+J159+J162+J192+J209+J213+J216</f>
        <v>191958.00000000003</v>
      </c>
      <c r="K156" s="15">
        <f>K157+K159+K162+K192+K209+K213+K216</f>
        <v>264737.15000000002</v>
      </c>
      <c r="L156" s="15">
        <f>L157+L159+L162+L192+L209+L213+L216</f>
        <v>218555.18</v>
      </c>
    </row>
    <row r="157" spans="1:12" s="71" customFormat="1" ht="30" customHeight="1" x14ac:dyDescent="0.25">
      <c r="A157" s="44" t="s">
        <v>266</v>
      </c>
      <c r="B157" s="37" t="s">
        <v>267</v>
      </c>
      <c r="C157" s="37"/>
      <c r="D157" s="46"/>
      <c r="E157" s="46"/>
      <c r="F157" s="46"/>
      <c r="G157" s="46">
        <f>G158</f>
        <v>99.5</v>
      </c>
      <c r="H157" s="46">
        <f t="shared" ref="H157:L157" si="95">H158</f>
        <v>0</v>
      </c>
      <c r="I157" s="46">
        <f t="shared" si="95"/>
        <v>1328.35</v>
      </c>
      <c r="J157" s="46">
        <f t="shared" si="95"/>
        <v>1427.85</v>
      </c>
      <c r="K157" s="46">
        <f t="shared" si="95"/>
        <v>3819.26</v>
      </c>
      <c r="L157" s="46">
        <f t="shared" si="95"/>
        <v>1388.52</v>
      </c>
    </row>
    <row r="158" spans="1:12" s="2" customFormat="1" ht="39" customHeight="1" x14ac:dyDescent="0.25">
      <c r="A158" s="10" t="s">
        <v>33</v>
      </c>
      <c r="B158" s="11" t="s">
        <v>267</v>
      </c>
      <c r="C158" s="11" t="s">
        <v>34</v>
      </c>
      <c r="D158" s="16"/>
      <c r="E158" s="16"/>
      <c r="F158" s="16"/>
      <c r="G158" s="16">
        <v>99.5</v>
      </c>
      <c r="H158" s="16"/>
      <c r="I158" s="16">
        <v>1328.35</v>
      </c>
      <c r="J158" s="16">
        <f>G158+I158</f>
        <v>1427.85</v>
      </c>
      <c r="K158" s="16">
        <v>3819.26</v>
      </c>
      <c r="L158" s="16">
        <v>1388.52</v>
      </c>
    </row>
    <row r="159" spans="1:12" ht="41.25" customHeight="1" x14ac:dyDescent="0.25">
      <c r="A159" s="21" t="s">
        <v>139</v>
      </c>
      <c r="B159" s="22" t="s">
        <v>68</v>
      </c>
      <c r="C159" s="22"/>
      <c r="D159" s="28">
        <f t="shared" ref="D159:L160" si="96">D160</f>
        <v>1800</v>
      </c>
      <c r="E159" s="28">
        <f t="shared" si="96"/>
        <v>0</v>
      </c>
      <c r="F159" s="28">
        <f t="shared" si="96"/>
        <v>1800</v>
      </c>
      <c r="G159" s="28">
        <f t="shared" si="96"/>
        <v>0</v>
      </c>
      <c r="H159" s="28">
        <f t="shared" si="96"/>
        <v>0</v>
      </c>
      <c r="I159" s="28">
        <f t="shared" si="96"/>
        <v>150</v>
      </c>
      <c r="J159" s="28">
        <f t="shared" si="96"/>
        <v>1950</v>
      </c>
      <c r="K159" s="28">
        <f t="shared" si="96"/>
        <v>1950</v>
      </c>
      <c r="L159" s="28">
        <f t="shared" si="96"/>
        <v>1596.32</v>
      </c>
    </row>
    <row r="160" spans="1:12" ht="33.75" customHeight="1" x14ac:dyDescent="0.25">
      <c r="A160" s="44" t="s">
        <v>344</v>
      </c>
      <c r="B160" s="37" t="s">
        <v>137</v>
      </c>
      <c r="C160" s="37"/>
      <c r="D160" s="46">
        <f t="shared" si="96"/>
        <v>1800</v>
      </c>
      <c r="E160" s="46">
        <f t="shared" si="96"/>
        <v>0</v>
      </c>
      <c r="F160" s="46">
        <f t="shared" si="96"/>
        <v>1800</v>
      </c>
      <c r="G160" s="46">
        <f t="shared" si="96"/>
        <v>0</v>
      </c>
      <c r="H160" s="46">
        <f t="shared" si="96"/>
        <v>0</v>
      </c>
      <c r="I160" s="46">
        <f t="shared" si="96"/>
        <v>150</v>
      </c>
      <c r="J160" s="46">
        <f t="shared" si="96"/>
        <v>1950</v>
      </c>
      <c r="K160" s="46">
        <f t="shared" si="96"/>
        <v>1950</v>
      </c>
      <c r="L160" s="46">
        <f t="shared" si="96"/>
        <v>1596.32</v>
      </c>
    </row>
    <row r="161" spans="1:12" ht="31.5" customHeight="1" x14ac:dyDescent="0.25">
      <c r="A161" s="10" t="s">
        <v>337</v>
      </c>
      <c r="B161" s="11" t="s">
        <v>137</v>
      </c>
      <c r="C161" s="11" t="s">
        <v>27</v>
      </c>
      <c r="D161" s="16">
        <v>1800</v>
      </c>
      <c r="E161" s="16"/>
      <c r="F161" s="16">
        <f>D161+E161</f>
        <v>1800</v>
      </c>
      <c r="G161" s="16"/>
      <c r="H161" s="16"/>
      <c r="I161" s="16">
        <v>150</v>
      </c>
      <c r="J161" s="16">
        <f>F161+I161</f>
        <v>1950</v>
      </c>
      <c r="K161" s="16">
        <v>1950</v>
      </c>
      <c r="L161" s="16">
        <v>1596.32</v>
      </c>
    </row>
    <row r="162" spans="1:12" ht="41.25" customHeight="1" x14ac:dyDescent="0.25">
      <c r="A162" s="21" t="s">
        <v>55</v>
      </c>
      <c r="B162" s="22" t="s">
        <v>140</v>
      </c>
      <c r="C162" s="22"/>
      <c r="D162" s="28">
        <f>D163+D166+D176+D182+D187</f>
        <v>58700.22</v>
      </c>
      <c r="E162" s="28">
        <f>E163+E166+E176+E182+E187+E168</f>
        <v>4938.5</v>
      </c>
      <c r="F162" s="28">
        <f>F163+F166+F176+F182+F187+F168+F170</f>
        <v>64298.46</v>
      </c>
      <c r="G162" s="28">
        <f>G163+G166+G176+G182+G187+G168+G170</f>
        <v>23363.3</v>
      </c>
      <c r="H162" s="28">
        <f>H163+H166+H176+H182+H187+H168+H170</f>
        <v>0</v>
      </c>
      <c r="I162" s="28">
        <f>I163+I166+I176+I182+I187+I168+I170</f>
        <v>7248.99</v>
      </c>
      <c r="J162" s="28">
        <f>J163+J166+J176+J182+J187+J168+J170+J184+J173</f>
        <v>117410.75000000001</v>
      </c>
      <c r="K162" s="28">
        <f>K163+K166+K176+K182+K187+K168+K170+K184+K173</f>
        <v>159020.08000000002</v>
      </c>
      <c r="L162" s="28">
        <f>L163+L166+L176+L182+L187+L168+L170+L184+L173</f>
        <v>129136.14000000001</v>
      </c>
    </row>
    <row r="163" spans="1:12" ht="42.75" customHeight="1" x14ac:dyDescent="0.25">
      <c r="A163" s="44" t="s">
        <v>345</v>
      </c>
      <c r="B163" s="37" t="s">
        <v>205</v>
      </c>
      <c r="C163" s="37"/>
      <c r="D163" s="46">
        <f t="shared" ref="D163:E163" si="97">D165</f>
        <v>4000</v>
      </c>
      <c r="E163" s="46">
        <f t="shared" si="97"/>
        <v>0</v>
      </c>
      <c r="F163" s="46">
        <f>F164+F165</f>
        <v>4000</v>
      </c>
      <c r="G163" s="46">
        <f t="shared" ref="G163:J163" si="98">G164+G165</f>
        <v>0</v>
      </c>
      <c r="H163" s="46">
        <f t="shared" si="98"/>
        <v>0</v>
      </c>
      <c r="I163" s="46">
        <f t="shared" si="98"/>
        <v>0</v>
      </c>
      <c r="J163" s="46">
        <f t="shared" si="98"/>
        <v>4000</v>
      </c>
      <c r="K163" s="46">
        <f t="shared" ref="K163:L163" si="99">K164+K165</f>
        <v>4000</v>
      </c>
      <c r="L163" s="46">
        <f t="shared" si="99"/>
        <v>3996.49</v>
      </c>
    </row>
    <row r="164" spans="1:12" ht="40.700000000000003" customHeight="1" x14ac:dyDescent="0.25">
      <c r="A164" s="10" t="s">
        <v>33</v>
      </c>
      <c r="B164" s="11" t="s">
        <v>205</v>
      </c>
      <c r="C164" s="11" t="s">
        <v>34</v>
      </c>
      <c r="D164" s="16">
        <v>4000</v>
      </c>
      <c r="E164" s="16"/>
      <c r="F164" s="16">
        <f>D164+E164</f>
        <v>4000</v>
      </c>
      <c r="G164" s="16"/>
      <c r="H164" s="16"/>
      <c r="I164" s="16">
        <v>-993.89</v>
      </c>
      <c r="J164" s="16">
        <f>F164+I164</f>
        <v>3006.11</v>
      </c>
      <c r="K164" s="16">
        <v>2502.86</v>
      </c>
      <c r="L164" s="16">
        <v>2499.35</v>
      </c>
    </row>
    <row r="165" spans="1:12" ht="40.700000000000003" customHeight="1" x14ac:dyDescent="0.25">
      <c r="A165" s="10" t="s">
        <v>337</v>
      </c>
      <c r="B165" s="11" t="s">
        <v>205</v>
      </c>
      <c r="C165" s="11" t="s">
        <v>27</v>
      </c>
      <c r="D165" s="16">
        <v>4000</v>
      </c>
      <c r="E165" s="16"/>
      <c r="F165" s="16"/>
      <c r="G165" s="16"/>
      <c r="H165" s="16"/>
      <c r="I165" s="16">
        <v>993.89</v>
      </c>
      <c r="J165" s="16">
        <f>F165+I165</f>
        <v>993.89</v>
      </c>
      <c r="K165" s="16">
        <v>1497.14</v>
      </c>
      <c r="L165" s="16">
        <v>1497.14</v>
      </c>
    </row>
    <row r="166" spans="1:12" ht="72" customHeight="1" x14ac:dyDescent="0.25">
      <c r="A166" s="44" t="s">
        <v>8</v>
      </c>
      <c r="B166" s="37" t="s">
        <v>206</v>
      </c>
      <c r="C166" s="37"/>
      <c r="D166" s="46">
        <f t="shared" ref="D166:L166" si="100">D167</f>
        <v>0.22</v>
      </c>
      <c r="E166" s="46">
        <f t="shared" si="100"/>
        <v>0</v>
      </c>
      <c r="F166" s="46">
        <f t="shared" si="100"/>
        <v>0.22</v>
      </c>
      <c r="G166" s="46">
        <f t="shared" si="100"/>
        <v>0</v>
      </c>
      <c r="H166" s="46">
        <f t="shared" si="100"/>
        <v>0</v>
      </c>
      <c r="I166" s="46">
        <f t="shared" si="100"/>
        <v>0</v>
      </c>
      <c r="J166" s="46">
        <f t="shared" si="100"/>
        <v>0.22</v>
      </c>
      <c r="K166" s="46">
        <f t="shared" si="100"/>
        <v>0.22</v>
      </c>
      <c r="L166" s="46">
        <f t="shared" si="100"/>
        <v>0.22</v>
      </c>
    </row>
    <row r="167" spans="1:12" ht="38.25" customHeight="1" x14ac:dyDescent="0.25">
      <c r="A167" s="10" t="s">
        <v>33</v>
      </c>
      <c r="B167" s="11" t="s">
        <v>206</v>
      </c>
      <c r="C167" s="11" t="s">
        <v>34</v>
      </c>
      <c r="D167" s="16">
        <v>0.22</v>
      </c>
      <c r="E167" s="16"/>
      <c r="F167" s="16">
        <f>D167+E167</f>
        <v>0.22</v>
      </c>
      <c r="G167" s="16"/>
      <c r="H167" s="16"/>
      <c r="I167" s="16"/>
      <c r="J167" s="16">
        <f>F167+H167</f>
        <v>0.22</v>
      </c>
      <c r="K167" s="16">
        <v>0.22</v>
      </c>
      <c r="L167" s="16">
        <v>0.22</v>
      </c>
    </row>
    <row r="168" spans="1:12" ht="38.25" customHeight="1" x14ac:dyDescent="0.25">
      <c r="A168" s="44" t="s">
        <v>246</v>
      </c>
      <c r="B168" s="37" t="s">
        <v>247</v>
      </c>
      <c r="C168" s="37"/>
      <c r="D168" s="36"/>
      <c r="E168" s="36">
        <f t="shared" ref="E168:L168" si="101">E169</f>
        <v>3640</v>
      </c>
      <c r="F168" s="46">
        <f t="shared" si="101"/>
        <v>3640</v>
      </c>
      <c r="G168" s="46">
        <f t="shared" si="101"/>
        <v>0</v>
      </c>
      <c r="H168" s="46">
        <f t="shared" si="101"/>
        <v>0</v>
      </c>
      <c r="I168" s="46">
        <f t="shared" si="101"/>
        <v>0</v>
      </c>
      <c r="J168" s="46">
        <f t="shared" si="101"/>
        <v>3640</v>
      </c>
      <c r="K168" s="46">
        <f t="shared" si="101"/>
        <v>3640</v>
      </c>
      <c r="L168" s="46">
        <f t="shared" si="101"/>
        <v>3621.23</v>
      </c>
    </row>
    <row r="169" spans="1:12" ht="38.25" customHeight="1" x14ac:dyDescent="0.25">
      <c r="A169" s="10" t="s">
        <v>33</v>
      </c>
      <c r="B169" s="11" t="s">
        <v>247</v>
      </c>
      <c r="C169" s="11" t="s">
        <v>34</v>
      </c>
      <c r="D169" s="4"/>
      <c r="E169" s="4">
        <v>3640</v>
      </c>
      <c r="F169" s="16">
        <f>D169+E169</f>
        <v>3640</v>
      </c>
      <c r="G169" s="16"/>
      <c r="H169" s="16"/>
      <c r="I169" s="16"/>
      <c r="J169" s="16">
        <f>F169</f>
        <v>3640</v>
      </c>
      <c r="K169" s="16">
        <v>3640</v>
      </c>
      <c r="L169" s="16">
        <v>3621.23</v>
      </c>
    </row>
    <row r="170" spans="1:12" s="71" customFormat="1" ht="47.25" customHeight="1" x14ac:dyDescent="0.25">
      <c r="A170" s="44" t="s">
        <v>283</v>
      </c>
      <c r="B170" s="37" t="s">
        <v>249</v>
      </c>
      <c r="C170" s="37"/>
      <c r="D170" s="36"/>
      <c r="E170" s="36"/>
      <c r="F170" s="46">
        <f t="shared" ref="F170:I170" si="102">F172</f>
        <v>3659.74</v>
      </c>
      <c r="G170" s="46">
        <f t="shared" si="102"/>
        <v>0</v>
      </c>
      <c r="H170" s="46">
        <f t="shared" si="102"/>
        <v>0</v>
      </c>
      <c r="I170" s="46">
        <f t="shared" si="102"/>
        <v>0</v>
      </c>
      <c r="J170" s="46">
        <f>J171</f>
        <v>3659.74</v>
      </c>
      <c r="K170" s="46">
        <f>K171+K172</f>
        <v>3659.74</v>
      </c>
      <c r="L170" s="46">
        <f>L171+L172</f>
        <v>3653.79</v>
      </c>
    </row>
    <row r="171" spans="1:12" ht="38.25" hidden="1" customHeight="1" x14ac:dyDescent="0.25">
      <c r="A171" s="10" t="s">
        <v>33</v>
      </c>
      <c r="B171" s="11" t="s">
        <v>249</v>
      </c>
      <c r="C171" s="11" t="s">
        <v>34</v>
      </c>
      <c r="D171" s="4"/>
      <c r="E171" s="4"/>
      <c r="F171" s="16">
        <v>3659.74</v>
      </c>
      <c r="G171" s="16"/>
      <c r="H171" s="16"/>
      <c r="I171" s="16"/>
      <c r="J171" s="16">
        <f>F171</f>
        <v>3659.74</v>
      </c>
      <c r="K171" s="16"/>
      <c r="L171" s="16"/>
    </row>
    <row r="172" spans="1:12" ht="38.25" customHeight="1" x14ac:dyDescent="0.25">
      <c r="A172" s="10" t="s">
        <v>214</v>
      </c>
      <c r="B172" s="11" t="s">
        <v>249</v>
      </c>
      <c r="C172" s="11" t="s">
        <v>167</v>
      </c>
      <c r="D172" s="4"/>
      <c r="E172" s="4"/>
      <c r="F172" s="16">
        <v>3659.74</v>
      </c>
      <c r="G172" s="16"/>
      <c r="H172" s="16"/>
      <c r="I172" s="16"/>
      <c r="J172" s="16"/>
      <c r="K172" s="16">
        <v>3659.74</v>
      </c>
      <c r="L172" s="16">
        <v>3653.79</v>
      </c>
    </row>
    <row r="173" spans="1:12" ht="52.5" customHeight="1" x14ac:dyDescent="0.25">
      <c r="A173" s="44" t="s">
        <v>315</v>
      </c>
      <c r="B173" s="37" t="s">
        <v>316</v>
      </c>
      <c r="C173" s="37"/>
      <c r="D173" s="46"/>
      <c r="E173" s="46"/>
      <c r="F173" s="46"/>
      <c r="G173" s="46"/>
      <c r="H173" s="46"/>
      <c r="I173" s="46"/>
      <c r="J173" s="46"/>
      <c r="K173" s="46">
        <f>K174+K175</f>
        <v>1091.6299999999999</v>
      </c>
      <c r="L173" s="46">
        <f>L174+L175</f>
        <v>1079.49</v>
      </c>
    </row>
    <row r="174" spans="1:12" s="2" customFormat="1" ht="33" customHeight="1" x14ac:dyDescent="0.25">
      <c r="A174" s="10" t="s">
        <v>33</v>
      </c>
      <c r="B174" s="11" t="s">
        <v>316</v>
      </c>
      <c r="C174" s="11" t="s">
        <v>34</v>
      </c>
      <c r="D174" s="16"/>
      <c r="E174" s="16"/>
      <c r="F174" s="16"/>
      <c r="G174" s="16"/>
      <c r="H174" s="16"/>
      <c r="I174" s="16"/>
      <c r="J174" s="16"/>
      <c r="K174" s="16">
        <v>38.78</v>
      </c>
      <c r="L174" s="16">
        <v>28.17</v>
      </c>
    </row>
    <row r="175" spans="1:12" s="2" customFormat="1" ht="33" customHeight="1" x14ac:dyDescent="0.25">
      <c r="A175" s="10" t="s">
        <v>214</v>
      </c>
      <c r="B175" s="11" t="s">
        <v>316</v>
      </c>
      <c r="C175" s="11" t="s">
        <v>167</v>
      </c>
      <c r="D175" s="16"/>
      <c r="E175" s="16"/>
      <c r="F175" s="16"/>
      <c r="G175" s="16"/>
      <c r="H175" s="16"/>
      <c r="I175" s="16"/>
      <c r="J175" s="16"/>
      <c r="K175" s="16">
        <v>1052.8499999999999</v>
      </c>
      <c r="L175" s="16">
        <v>1051.32</v>
      </c>
    </row>
    <row r="176" spans="1:12" ht="42.75" customHeight="1" x14ac:dyDescent="0.25">
      <c r="A176" s="44" t="s">
        <v>136</v>
      </c>
      <c r="B176" s="37" t="s">
        <v>141</v>
      </c>
      <c r="C176" s="37"/>
      <c r="D176" s="46">
        <f t="shared" ref="D176:E176" si="103">D181</f>
        <v>35600</v>
      </c>
      <c r="E176" s="46">
        <f t="shared" si="103"/>
        <v>0</v>
      </c>
      <c r="F176" s="46">
        <f>F177+F178+F179+F180+F181</f>
        <v>32600</v>
      </c>
      <c r="G176" s="46">
        <f>G177+G178+G179+G180+G181</f>
        <v>23363.3</v>
      </c>
      <c r="H176" s="46">
        <f t="shared" ref="H176:J176" si="104">H177+H178+H179+H180+H181</f>
        <v>0</v>
      </c>
      <c r="I176" s="46">
        <f t="shared" si="104"/>
        <v>7248.99</v>
      </c>
      <c r="J176" s="46">
        <f t="shared" si="104"/>
        <v>60512.29</v>
      </c>
      <c r="K176" s="46">
        <f t="shared" ref="K176:L176" si="105">K177+K178+K179+K180+K181</f>
        <v>101056.99</v>
      </c>
      <c r="L176" s="46">
        <f t="shared" si="105"/>
        <v>83056.650000000009</v>
      </c>
    </row>
    <row r="177" spans="1:13" ht="34.5" customHeight="1" x14ac:dyDescent="0.25">
      <c r="A177" s="10" t="s">
        <v>33</v>
      </c>
      <c r="B177" s="11" t="s">
        <v>141</v>
      </c>
      <c r="C177" s="11" t="s">
        <v>34</v>
      </c>
      <c r="D177" s="16">
        <f>17900+11000+2700+4000</f>
        <v>35600</v>
      </c>
      <c r="E177" s="16"/>
      <c r="F177" s="16">
        <v>32600</v>
      </c>
      <c r="G177" s="16">
        <f>17192.2+640.41</f>
        <v>17832.61</v>
      </c>
      <c r="H177" s="16"/>
      <c r="I177" s="16">
        <f>2019.34-169.6+1500+500+597+100+2500</f>
        <v>7046.74</v>
      </c>
      <c r="J177" s="16">
        <f>F177+G177+I177-2700</f>
        <v>54779.35</v>
      </c>
      <c r="K177" s="16">
        <v>87772.72</v>
      </c>
      <c r="L177" s="16">
        <v>75813.3</v>
      </c>
    </row>
    <row r="178" spans="1:13" ht="24" hidden="1" customHeight="1" x14ac:dyDescent="0.25">
      <c r="A178" s="10" t="s">
        <v>65</v>
      </c>
      <c r="B178" s="11" t="s">
        <v>141</v>
      </c>
      <c r="C178" s="11" t="s">
        <v>67</v>
      </c>
      <c r="D178" s="16">
        <f>17900+11000+2700+4000</f>
        <v>35600</v>
      </c>
      <c r="E178" s="16"/>
      <c r="F178" s="16"/>
      <c r="G178" s="16"/>
      <c r="H178" s="16"/>
      <c r="I178" s="16">
        <f>30-30</f>
        <v>0</v>
      </c>
      <c r="J178" s="16">
        <f t="shared" ref="J178:J181" si="106">F178+G178+I178</f>
        <v>0</v>
      </c>
      <c r="K178" s="16"/>
      <c r="L178" s="16"/>
    </row>
    <row r="179" spans="1:13" ht="35.450000000000003" customHeight="1" x14ac:dyDescent="0.25">
      <c r="A179" s="10" t="s">
        <v>214</v>
      </c>
      <c r="B179" s="11" t="s">
        <v>141</v>
      </c>
      <c r="C179" s="11" t="s">
        <v>167</v>
      </c>
      <c r="D179" s="16">
        <f>17900+11000+2700+4000</f>
        <v>35600</v>
      </c>
      <c r="E179" s="16"/>
      <c r="F179" s="16"/>
      <c r="G179" s="16">
        <v>5530.69</v>
      </c>
      <c r="H179" s="16"/>
      <c r="I179" s="16"/>
      <c r="J179" s="16">
        <f t="shared" si="106"/>
        <v>5530.69</v>
      </c>
      <c r="K179" s="16">
        <v>12995.83</v>
      </c>
      <c r="L179" s="16">
        <v>6954.91</v>
      </c>
    </row>
    <row r="180" spans="1:13" ht="35.450000000000003" customHeight="1" x14ac:dyDescent="0.25">
      <c r="A180" s="10" t="s">
        <v>337</v>
      </c>
      <c r="B180" s="11" t="s">
        <v>141</v>
      </c>
      <c r="C180" s="11" t="s">
        <v>27</v>
      </c>
      <c r="D180" s="16">
        <f>17900+11000+2700+4000</f>
        <v>35600</v>
      </c>
      <c r="E180" s="16"/>
      <c r="F180" s="16"/>
      <c r="G180" s="16"/>
      <c r="H180" s="16"/>
      <c r="I180" s="16">
        <v>191.39</v>
      </c>
      <c r="J180" s="16">
        <f t="shared" si="106"/>
        <v>191.39</v>
      </c>
      <c r="K180" s="16">
        <v>277.58</v>
      </c>
      <c r="L180" s="16">
        <v>277.58</v>
      </c>
    </row>
    <row r="181" spans="1:13" ht="18.75" customHeight="1" x14ac:dyDescent="0.25">
      <c r="A181" s="10" t="s">
        <v>217</v>
      </c>
      <c r="B181" s="11" t="s">
        <v>141</v>
      </c>
      <c r="C181" s="11" t="s">
        <v>50</v>
      </c>
      <c r="D181" s="16">
        <f>17900+11000+2700+4000</f>
        <v>35600</v>
      </c>
      <c r="E181" s="16"/>
      <c r="F181" s="16"/>
      <c r="G181" s="16"/>
      <c r="H181" s="16"/>
      <c r="I181" s="16">
        <v>10.86</v>
      </c>
      <c r="J181" s="16">
        <f t="shared" si="106"/>
        <v>10.86</v>
      </c>
      <c r="K181" s="16">
        <v>10.86</v>
      </c>
      <c r="L181" s="16">
        <v>10.86</v>
      </c>
    </row>
    <row r="182" spans="1:13" ht="27.75" customHeight="1" x14ac:dyDescent="0.25">
      <c r="A182" s="44" t="s">
        <v>138</v>
      </c>
      <c r="B182" s="37" t="s">
        <v>207</v>
      </c>
      <c r="C182" s="37"/>
      <c r="D182" s="46">
        <f t="shared" ref="D182:I182" si="107">D186</f>
        <v>0</v>
      </c>
      <c r="E182" s="46">
        <f t="shared" si="107"/>
        <v>0</v>
      </c>
      <c r="F182" s="46">
        <f t="shared" si="107"/>
        <v>0</v>
      </c>
      <c r="G182" s="46">
        <f t="shared" si="107"/>
        <v>0</v>
      </c>
      <c r="H182" s="46">
        <f t="shared" si="107"/>
        <v>0</v>
      </c>
      <c r="I182" s="46">
        <f t="shared" si="107"/>
        <v>0</v>
      </c>
      <c r="J182" s="46">
        <f>J183</f>
        <v>12500</v>
      </c>
      <c r="K182" s="46">
        <f>K183</f>
        <v>12500</v>
      </c>
      <c r="L182" s="46">
        <f>L183</f>
        <v>12500</v>
      </c>
    </row>
    <row r="183" spans="1:13" ht="36" customHeight="1" x14ac:dyDescent="0.25">
      <c r="A183" s="10" t="s">
        <v>33</v>
      </c>
      <c r="B183" s="11" t="s">
        <v>207</v>
      </c>
      <c r="C183" s="11" t="s">
        <v>34</v>
      </c>
      <c r="D183" s="16">
        <v>12500</v>
      </c>
      <c r="E183" s="16"/>
      <c r="F183" s="16">
        <f>D183+E183</f>
        <v>12500</v>
      </c>
      <c r="G183" s="16"/>
      <c r="H183" s="16"/>
      <c r="I183" s="16"/>
      <c r="J183" s="16">
        <f>F183+I183</f>
        <v>12500</v>
      </c>
      <c r="K183" s="16">
        <v>12500</v>
      </c>
      <c r="L183" s="16">
        <v>12500</v>
      </c>
    </row>
    <row r="184" spans="1:13" ht="33.75" customHeight="1" x14ac:dyDescent="0.25">
      <c r="A184" s="72" t="s">
        <v>326</v>
      </c>
      <c r="B184" s="73" t="s">
        <v>294</v>
      </c>
      <c r="C184" s="73"/>
      <c r="D184" s="73" t="s">
        <v>295</v>
      </c>
      <c r="E184" s="73" t="s">
        <v>296</v>
      </c>
      <c r="F184" s="73" t="s">
        <v>297</v>
      </c>
      <c r="G184" s="73" t="s">
        <v>298</v>
      </c>
      <c r="H184" s="73" t="s">
        <v>299</v>
      </c>
      <c r="I184" s="73" t="s">
        <v>300</v>
      </c>
      <c r="J184" s="74" t="s">
        <v>301</v>
      </c>
      <c r="K184" s="46">
        <f t="shared" ref="K184:L184" si="108">K185</f>
        <v>12673</v>
      </c>
      <c r="L184" s="46">
        <f t="shared" si="108"/>
        <v>2104.11</v>
      </c>
    </row>
    <row r="185" spans="1:13" ht="36" customHeight="1" x14ac:dyDescent="0.25">
      <c r="A185" s="44" t="s">
        <v>326</v>
      </c>
      <c r="B185" s="37" t="s">
        <v>294</v>
      </c>
      <c r="C185" s="37"/>
      <c r="D185" s="46"/>
      <c r="E185" s="46"/>
      <c r="F185" s="46"/>
      <c r="G185" s="46"/>
      <c r="H185" s="46"/>
      <c r="I185" s="46"/>
      <c r="J185" s="46">
        <f>J186</f>
        <v>12700</v>
      </c>
      <c r="K185" s="46">
        <f>K186</f>
        <v>12673</v>
      </c>
      <c r="L185" s="46">
        <f>L186</f>
        <v>2104.11</v>
      </c>
    </row>
    <row r="186" spans="1:13" ht="36" customHeight="1" x14ac:dyDescent="0.25">
      <c r="A186" s="10" t="s">
        <v>33</v>
      </c>
      <c r="B186" s="11" t="s">
        <v>294</v>
      </c>
      <c r="C186" s="11" t="s">
        <v>34</v>
      </c>
      <c r="D186" s="16"/>
      <c r="E186" s="16"/>
      <c r="F186" s="16"/>
      <c r="G186" s="16"/>
      <c r="H186" s="16"/>
      <c r="I186" s="16"/>
      <c r="J186" s="16">
        <v>12700</v>
      </c>
      <c r="K186" s="16">
        <v>12673</v>
      </c>
      <c r="L186" s="16">
        <v>2104.11</v>
      </c>
    </row>
    <row r="187" spans="1:13" ht="36.75" customHeight="1" x14ac:dyDescent="0.25">
      <c r="A187" s="44" t="s">
        <v>346</v>
      </c>
      <c r="B187" s="37" t="s">
        <v>208</v>
      </c>
      <c r="C187" s="37"/>
      <c r="D187" s="46">
        <f>D188+D191</f>
        <v>19100</v>
      </c>
      <c r="E187" s="46">
        <f>E188+E191</f>
        <v>1298.5</v>
      </c>
      <c r="F187" s="46">
        <f>F188+F190+F191</f>
        <v>20398.5</v>
      </c>
      <c r="G187" s="46">
        <f t="shared" ref="G187:I187" si="109">G188+G190+G191</f>
        <v>0</v>
      </c>
      <c r="H187" s="46">
        <f t="shared" si="109"/>
        <v>0</v>
      </c>
      <c r="I187" s="46">
        <f t="shared" si="109"/>
        <v>0</v>
      </c>
      <c r="J187" s="46">
        <f>J188+J189+J190</f>
        <v>20398.5</v>
      </c>
      <c r="K187" s="46">
        <f>K188+K189+K190</f>
        <v>20398.5</v>
      </c>
      <c r="L187" s="46">
        <f>L188+L189+L190</f>
        <v>19124.16</v>
      </c>
      <c r="M187" s="88"/>
    </row>
    <row r="188" spans="1:13" ht="84" customHeight="1" x14ac:dyDescent="0.25">
      <c r="A188" s="10" t="s">
        <v>31</v>
      </c>
      <c r="B188" s="11" t="s">
        <v>208</v>
      </c>
      <c r="C188" s="11" t="s">
        <v>32</v>
      </c>
      <c r="D188" s="16">
        <v>14457.2</v>
      </c>
      <c r="E188" s="16">
        <v>1026</v>
      </c>
      <c r="F188" s="16">
        <f>D188+E188</f>
        <v>15483.2</v>
      </c>
      <c r="G188" s="16"/>
      <c r="H188" s="16"/>
      <c r="I188" s="16"/>
      <c r="J188" s="16">
        <f>F188+I188</f>
        <v>15483.2</v>
      </c>
      <c r="K188" s="16">
        <v>15419.2</v>
      </c>
      <c r="L188" s="16">
        <v>15063.3</v>
      </c>
    </row>
    <row r="189" spans="1:13" ht="42" customHeight="1" x14ac:dyDescent="0.25">
      <c r="A189" s="10" t="s">
        <v>33</v>
      </c>
      <c r="B189" s="11" t="s">
        <v>208</v>
      </c>
      <c r="C189" s="11" t="s">
        <v>34</v>
      </c>
      <c r="D189" s="16">
        <v>4642.8</v>
      </c>
      <c r="E189" s="16">
        <v>272.5</v>
      </c>
      <c r="F189" s="16">
        <f>D189+E189</f>
        <v>4915.3</v>
      </c>
      <c r="G189" s="16"/>
      <c r="H189" s="16"/>
      <c r="I189" s="16">
        <f>666.7-666.7</f>
        <v>0</v>
      </c>
      <c r="J189" s="16">
        <f>F189+I189</f>
        <v>4915.3</v>
      </c>
      <c r="K189" s="16">
        <v>4975</v>
      </c>
      <c r="L189" s="16">
        <v>4058.37</v>
      </c>
    </row>
    <row r="190" spans="1:13" ht="42" customHeight="1" x14ac:dyDescent="0.25">
      <c r="A190" s="10" t="s">
        <v>33</v>
      </c>
      <c r="B190" s="11" t="s">
        <v>208</v>
      </c>
      <c r="C190" s="11" t="s">
        <v>50</v>
      </c>
      <c r="D190" s="16">
        <v>4642.8</v>
      </c>
      <c r="E190" s="16">
        <v>272.5</v>
      </c>
      <c r="F190" s="16">
        <f>D190+E190</f>
        <v>4915.3</v>
      </c>
      <c r="G190" s="16"/>
      <c r="H190" s="16"/>
      <c r="I190" s="16">
        <f>666.7-666.7</f>
        <v>0</v>
      </c>
      <c r="J190" s="16">
        <v>0</v>
      </c>
      <c r="K190" s="16">
        <v>4.3</v>
      </c>
      <c r="L190" s="16">
        <v>2.4900000000000002</v>
      </c>
    </row>
    <row r="191" spans="1:13" ht="21" hidden="1" customHeight="1" x14ac:dyDescent="0.25">
      <c r="A191" s="10" t="s">
        <v>217</v>
      </c>
      <c r="B191" s="11" t="s">
        <v>208</v>
      </c>
      <c r="C191" s="11" t="s">
        <v>50</v>
      </c>
      <c r="D191" s="16">
        <v>4642.8</v>
      </c>
      <c r="E191" s="16">
        <v>272.5</v>
      </c>
      <c r="F191" s="16"/>
      <c r="G191" s="16"/>
      <c r="H191" s="16"/>
      <c r="I191" s="16">
        <f>4.3-4.3</f>
        <v>0</v>
      </c>
      <c r="J191" s="16">
        <f>F191+I191</f>
        <v>0</v>
      </c>
      <c r="K191" s="16" t="e">
        <f>J191+#REF!</f>
        <v>#REF!</v>
      </c>
      <c r="L191" s="16" t="e">
        <f>K191+#REF!</f>
        <v>#REF!</v>
      </c>
    </row>
    <row r="192" spans="1:13" ht="34.5" customHeight="1" x14ac:dyDescent="0.25">
      <c r="A192" s="24" t="s">
        <v>313</v>
      </c>
      <c r="B192" s="25" t="s">
        <v>142</v>
      </c>
      <c r="C192" s="25"/>
      <c r="D192" s="26"/>
      <c r="E192" s="26"/>
      <c r="F192" s="27">
        <f>F193</f>
        <v>19442.579999999998</v>
      </c>
      <c r="G192" s="27">
        <f t="shared" ref="G192:I192" si="110">G193</f>
        <v>0</v>
      </c>
      <c r="H192" s="27">
        <f t="shared" si="110"/>
        <v>4620.25</v>
      </c>
      <c r="I192" s="27">
        <f t="shared" si="110"/>
        <v>0</v>
      </c>
      <c r="J192" s="27">
        <f>J193</f>
        <v>26212.829999999998</v>
      </c>
      <c r="K192" s="27">
        <f>K193</f>
        <v>20320.57</v>
      </c>
      <c r="L192" s="27">
        <f>L193</f>
        <v>19962.509999999998</v>
      </c>
    </row>
    <row r="193" spans="1:13" ht="55.5" customHeight="1" x14ac:dyDescent="0.25">
      <c r="A193" s="24" t="s">
        <v>314</v>
      </c>
      <c r="B193" s="25" t="s">
        <v>142</v>
      </c>
      <c r="C193" s="25"/>
      <c r="D193" s="26">
        <f>D194+D210</f>
        <v>16900</v>
      </c>
      <c r="E193" s="26">
        <f>E194+E210</f>
        <v>-1000</v>
      </c>
      <c r="F193" s="27">
        <f>F194+F199+F203+F205+F207+F201</f>
        <v>19442.579999999998</v>
      </c>
      <c r="G193" s="27">
        <f t="shared" ref="G193:I193" si="111">G194+G199+G203+G205+G207+G201</f>
        <v>0</v>
      </c>
      <c r="H193" s="27">
        <f t="shared" si="111"/>
        <v>4620.25</v>
      </c>
      <c r="I193" s="27">
        <f t="shared" si="111"/>
        <v>0</v>
      </c>
      <c r="J193" s="27">
        <f>J194+J199+J203+J205+J207+J201+J197</f>
        <v>26212.829999999998</v>
      </c>
      <c r="K193" s="27">
        <f>K194+K199+K203+K205+K207+K201+K197</f>
        <v>20320.57</v>
      </c>
      <c r="L193" s="27">
        <f>L194+L199+L203+L205+L207+L201+L197</f>
        <v>19962.509999999998</v>
      </c>
    </row>
    <row r="194" spans="1:13" ht="39.75" customHeight="1" x14ac:dyDescent="0.25">
      <c r="A194" s="44" t="s">
        <v>172</v>
      </c>
      <c r="B194" s="37" t="s">
        <v>211</v>
      </c>
      <c r="C194" s="37"/>
      <c r="D194" s="36">
        <f>D196</f>
        <v>13000</v>
      </c>
      <c r="E194" s="36">
        <f>E196</f>
        <v>-1000</v>
      </c>
      <c r="F194" s="46">
        <f>F195+F196</f>
        <v>12000</v>
      </c>
      <c r="G194" s="46">
        <f t="shared" ref="G194:J194" si="112">G195+G196</f>
        <v>0</v>
      </c>
      <c r="H194" s="46">
        <f t="shared" si="112"/>
        <v>3000</v>
      </c>
      <c r="I194" s="46">
        <f t="shared" si="112"/>
        <v>0</v>
      </c>
      <c r="J194" s="46">
        <f t="shared" si="112"/>
        <v>17150</v>
      </c>
      <c r="K194" s="46">
        <f t="shared" ref="K194:L194" si="113">K195+K196</f>
        <v>17150</v>
      </c>
      <c r="L194" s="46">
        <f t="shared" si="113"/>
        <v>17150</v>
      </c>
    </row>
    <row r="195" spans="1:13" ht="39.75" customHeight="1" x14ac:dyDescent="0.25">
      <c r="A195" s="10" t="s">
        <v>33</v>
      </c>
      <c r="B195" s="11" t="s">
        <v>211</v>
      </c>
      <c r="C195" s="11" t="s">
        <v>34</v>
      </c>
      <c r="D195" s="4">
        <v>13000</v>
      </c>
      <c r="E195" s="4">
        <v>-1000</v>
      </c>
      <c r="F195" s="16">
        <f>D195+E195</f>
        <v>12000</v>
      </c>
      <c r="G195" s="16"/>
      <c r="H195" s="16">
        <v>3000</v>
      </c>
      <c r="I195" s="16">
        <v>-167.72</v>
      </c>
      <c r="J195" s="16">
        <f>F195+H195+I195+2150</f>
        <v>16982.28</v>
      </c>
      <c r="K195" s="16">
        <f>6612.55+10369.73</f>
        <v>16982.28</v>
      </c>
      <c r="L195" s="16">
        <v>16982.28</v>
      </c>
    </row>
    <row r="196" spans="1:13" ht="39.75" customHeight="1" x14ac:dyDescent="0.25">
      <c r="A196" s="10" t="s">
        <v>214</v>
      </c>
      <c r="B196" s="11" t="s">
        <v>211</v>
      </c>
      <c r="C196" s="11" t="s">
        <v>167</v>
      </c>
      <c r="D196" s="4">
        <v>13000</v>
      </c>
      <c r="E196" s="4">
        <v>-1000</v>
      </c>
      <c r="F196" s="16"/>
      <c r="G196" s="16"/>
      <c r="H196" s="16"/>
      <c r="I196" s="16">
        <v>167.72</v>
      </c>
      <c r="J196" s="16">
        <f>I196</f>
        <v>167.72</v>
      </c>
      <c r="K196" s="16">
        <v>167.72</v>
      </c>
      <c r="L196" s="16">
        <v>167.72</v>
      </c>
    </row>
    <row r="197" spans="1:13" ht="64.5" customHeight="1" x14ac:dyDescent="0.25">
      <c r="A197" s="44" t="s">
        <v>213</v>
      </c>
      <c r="B197" s="37" t="s">
        <v>215</v>
      </c>
      <c r="C197" s="37"/>
      <c r="D197" s="36"/>
      <c r="E197" s="36">
        <f t="shared" ref="E197:L199" si="114">E198</f>
        <v>1418.1</v>
      </c>
      <c r="F197" s="46">
        <f t="shared" si="114"/>
        <v>1550.32</v>
      </c>
      <c r="G197" s="46">
        <f t="shared" si="114"/>
        <v>0</v>
      </c>
      <c r="H197" s="46">
        <f t="shared" si="114"/>
        <v>0</v>
      </c>
      <c r="I197" s="46">
        <f t="shared" si="114"/>
        <v>0</v>
      </c>
      <c r="J197" s="46">
        <f t="shared" si="114"/>
        <v>1550.32</v>
      </c>
      <c r="K197" s="46">
        <f t="shared" si="114"/>
        <v>132.22</v>
      </c>
      <c r="L197" s="46">
        <f t="shared" si="114"/>
        <v>114.66</v>
      </c>
    </row>
    <row r="198" spans="1:13" ht="46.5" customHeight="1" x14ac:dyDescent="0.25">
      <c r="A198" s="10" t="s">
        <v>214</v>
      </c>
      <c r="B198" s="11" t="s">
        <v>215</v>
      </c>
      <c r="C198" s="11" t="s">
        <v>167</v>
      </c>
      <c r="D198" s="4"/>
      <c r="E198" s="4">
        <v>1418.1</v>
      </c>
      <c r="F198" s="16">
        <f>D198+E198+132.22</f>
        <v>1550.32</v>
      </c>
      <c r="G198" s="16"/>
      <c r="H198" s="16"/>
      <c r="I198" s="16"/>
      <c r="J198" s="16">
        <f>F198+H198</f>
        <v>1550.32</v>
      </c>
      <c r="K198" s="16">
        <v>132.22</v>
      </c>
      <c r="L198" s="16">
        <v>114.66</v>
      </c>
    </row>
    <row r="199" spans="1:13" ht="64.5" customHeight="1" x14ac:dyDescent="0.25">
      <c r="A199" s="44" t="s">
        <v>347</v>
      </c>
      <c r="B199" s="37" t="s">
        <v>317</v>
      </c>
      <c r="C199" s="37"/>
      <c r="D199" s="36"/>
      <c r="E199" s="36">
        <f t="shared" si="114"/>
        <v>1418.1</v>
      </c>
      <c r="F199" s="46">
        <f t="shared" si="114"/>
        <v>1550.32</v>
      </c>
      <c r="G199" s="46">
        <f t="shared" si="114"/>
        <v>0</v>
      </c>
      <c r="H199" s="46">
        <f t="shared" si="114"/>
        <v>0</v>
      </c>
      <c r="I199" s="46">
        <f t="shared" si="114"/>
        <v>0</v>
      </c>
      <c r="J199" s="46">
        <f t="shared" si="114"/>
        <v>0</v>
      </c>
      <c r="K199" s="46">
        <f t="shared" si="114"/>
        <v>1418.1</v>
      </c>
      <c r="L199" s="46">
        <f t="shared" si="114"/>
        <v>1418.1</v>
      </c>
    </row>
    <row r="200" spans="1:13" ht="46.5" customHeight="1" x14ac:dyDescent="0.25">
      <c r="A200" s="10" t="s">
        <v>214</v>
      </c>
      <c r="B200" s="11" t="s">
        <v>317</v>
      </c>
      <c r="C200" s="11" t="s">
        <v>167</v>
      </c>
      <c r="D200" s="4"/>
      <c r="E200" s="4">
        <v>1418.1</v>
      </c>
      <c r="F200" s="16">
        <f>D200+E200+132.22</f>
        <v>1550.32</v>
      </c>
      <c r="G200" s="16"/>
      <c r="H200" s="16"/>
      <c r="I200" s="16"/>
      <c r="J200" s="16"/>
      <c r="K200" s="16">
        <v>1418.1</v>
      </c>
      <c r="L200" s="16">
        <v>1418.1</v>
      </c>
    </row>
    <row r="201" spans="1:13" ht="47.25" customHeight="1" x14ac:dyDescent="0.25">
      <c r="A201" s="44" t="s">
        <v>270</v>
      </c>
      <c r="B201" s="37" t="s">
        <v>269</v>
      </c>
      <c r="C201" s="37"/>
      <c r="D201" s="36"/>
      <c r="E201" s="36"/>
      <c r="F201" s="46"/>
      <c r="G201" s="46"/>
      <c r="H201" s="46">
        <f t="shared" ref="H201:L201" si="115">H202</f>
        <v>1620.25</v>
      </c>
      <c r="I201" s="46">
        <f t="shared" si="115"/>
        <v>0</v>
      </c>
      <c r="J201" s="46">
        <f t="shared" si="115"/>
        <v>1620.25</v>
      </c>
      <c r="K201" s="46">
        <f t="shared" si="115"/>
        <v>1620.25</v>
      </c>
      <c r="L201" s="46">
        <f t="shared" si="115"/>
        <v>1279.75</v>
      </c>
    </row>
    <row r="202" spans="1:13" s="2" customFormat="1" ht="32.25" customHeight="1" x14ac:dyDescent="0.25">
      <c r="A202" s="10" t="s">
        <v>214</v>
      </c>
      <c r="B202" s="11" t="s">
        <v>269</v>
      </c>
      <c r="C202" s="11" t="s">
        <v>167</v>
      </c>
      <c r="D202" s="4"/>
      <c r="E202" s="4"/>
      <c r="F202" s="16"/>
      <c r="G202" s="16"/>
      <c r="H202" s="16">
        <v>1620.25</v>
      </c>
      <c r="I202" s="16"/>
      <c r="J202" s="16">
        <f>H202</f>
        <v>1620.25</v>
      </c>
      <c r="K202" s="16">
        <v>1620.25</v>
      </c>
      <c r="L202" s="16">
        <v>1279.75</v>
      </c>
    </row>
    <row r="203" spans="1:13" ht="82.5" customHeight="1" x14ac:dyDescent="0.25">
      <c r="A203" s="44" t="s">
        <v>268</v>
      </c>
      <c r="B203" s="37" t="s">
        <v>253</v>
      </c>
      <c r="C203" s="37"/>
      <c r="D203" s="36"/>
      <c r="E203" s="36"/>
      <c r="F203" s="46">
        <f>F204</f>
        <v>3204.57</v>
      </c>
      <c r="G203" s="46">
        <f t="shared" ref="G203:K203" si="116">G204</f>
        <v>0</v>
      </c>
      <c r="H203" s="46">
        <f t="shared" si="116"/>
        <v>0</v>
      </c>
      <c r="I203" s="46">
        <f t="shared" si="116"/>
        <v>0</v>
      </c>
      <c r="J203" s="46">
        <f t="shared" si="116"/>
        <v>3204.57</v>
      </c>
      <c r="K203" s="46">
        <f t="shared" si="116"/>
        <v>0</v>
      </c>
      <c r="L203" s="46">
        <f>L204</f>
        <v>0</v>
      </c>
    </row>
    <row r="204" spans="1:13" ht="31.5" customHeight="1" x14ac:dyDescent="0.25">
      <c r="A204" s="10" t="s">
        <v>214</v>
      </c>
      <c r="B204" s="11" t="s">
        <v>253</v>
      </c>
      <c r="C204" s="11" t="s">
        <v>167</v>
      </c>
      <c r="D204" s="4"/>
      <c r="E204" s="4"/>
      <c r="F204" s="16">
        <v>3204.57</v>
      </c>
      <c r="G204" s="16"/>
      <c r="H204" s="16"/>
      <c r="I204" s="16"/>
      <c r="J204" s="16">
        <f>F204+H204</f>
        <v>3204.57</v>
      </c>
      <c r="K204" s="16">
        <f>3204.57-3204.57</f>
        <v>0</v>
      </c>
      <c r="L204" s="16">
        <v>0</v>
      </c>
      <c r="M204" s="88"/>
    </row>
    <row r="205" spans="1:13" ht="51" customHeight="1" x14ac:dyDescent="0.25">
      <c r="A205" s="44" t="s">
        <v>250</v>
      </c>
      <c r="B205" s="37" t="s">
        <v>251</v>
      </c>
      <c r="C205" s="11"/>
      <c r="D205" s="4"/>
      <c r="E205" s="4"/>
      <c r="F205" s="46">
        <f>F206</f>
        <v>1361.93</v>
      </c>
      <c r="G205" s="46">
        <f t="shared" ref="G205:L205" si="117">G206</f>
        <v>0</v>
      </c>
      <c r="H205" s="46">
        <f t="shared" si="117"/>
        <v>0</v>
      </c>
      <c r="I205" s="46">
        <f t="shared" si="117"/>
        <v>0</v>
      </c>
      <c r="J205" s="46">
        <f t="shared" si="117"/>
        <v>1361.93</v>
      </c>
      <c r="K205" s="46">
        <f t="shared" si="117"/>
        <v>0</v>
      </c>
      <c r="L205" s="46">
        <f t="shared" si="117"/>
        <v>0</v>
      </c>
      <c r="M205" s="88"/>
    </row>
    <row r="206" spans="1:13" ht="30" customHeight="1" x14ac:dyDescent="0.25">
      <c r="A206" s="10" t="s">
        <v>214</v>
      </c>
      <c r="B206" s="11" t="s">
        <v>251</v>
      </c>
      <c r="C206" s="11" t="s">
        <v>167</v>
      </c>
      <c r="D206" s="4"/>
      <c r="E206" s="4"/>
      <c r="F206" s="16">
        <v>1361.93</v>
      </c>
      <c r="G206" s="16"/>
      <c r="H206" s="16"/>
      <c r="I206" s="16"/>
      <c r="J206" s="16">
        <f>F206+H206</f>
        <v>1361.93</v>
      </c>
      <c r="K206" s="16">
        <f>1361.93-1361.93</f>
        <v>0</v>
      </c>
      <c r="L206" s="16">
        <v>0</v>
      </c>
      <c r="M206" s="88"/>
    </row>
    <row r="207" spans="1:13" ht="51" customHeight="1" x14ac:dyDescent="0.25">
      <c r="A207" s="44" t="s">
        <v>348</v>
      </c>
      <c r="B207" s="37" t="s">
        <v>252</v>
      </c>
      <c r="C207" s="37"/>
      <c r="D207" s="36"/>
      <c r="E207" s="36"/>
      <c r="F207" s="46">
        <f>F208</f>
        <v>1325.76</v>
      </c>
      <c r="G207" s="46">
        <f t="shared" ref="G207:L207" si="118">G208</f>
        <v>0</v>
      </c>
      <c r="H207" s="46">
        <f t="shared" si="118"/>
        <v>0</v>
      </c>
      <c r="I207" s="46">
        <f t="shared" si="118"/>
        <v>0</v>
      </c>
      <c r="J207" s="46">
        <f t="shared" si="118"/>
        <v>1325.76</v>
      </c>
      <c r="K207" s="46">
        <f t="shared" si="118"/>
        <v>0</v>
      </c>
      <c r="L207" s="46">
        <f t="shared" si="118"/>
        <v>0</v>
      </c>
    </row>
    <row r="208" spans="1:13" ht="27.75" customHeight="1" x14ac:dyDescent="0.25">
      <c r="A208" s="10" t="s">
        <v>214</v>
      </c>
      <c r="B208" s="11" t="s">
        <v>252</v>
      </c>
      <c r="C208" s="11" t="s">
        <v>167</v>
      </c>
      <c r="D208" s="4"/>
      <c r="E208" s="4"/>
      <c r="F208" s="16">
        <v>1325.76</v>
      </c>
      <c r="G208" s="16"/>
      <c r="H208" s="16"/>
      <c r="I208" s="16"/>
      <c r="J208" s="16">
        <f>F208+H208</f>
        <v>1325.76</v>
      </c>
      <c r="K208" s="16">
        <f>1325.76-1325.76</f>
        <v>0</v>
      </c>
      <c r="L208" s="16">
        <v>0</v>
      </c>
    </row>
    <row r="209" spans="1:19" ht="30" customHeight="1" x14ac:dyDescent="0.25">
      <c r="A209" s="44" t="s">
        <v>271</v>
      </c>
      <c r="B209" s="37" t="s">
        <v>143</v>
      </c>
      <c r="C209" s="37"/>
      <c r="D209" s="36"/>
      <c r="E209" s="36"/>
      <c r="F209" s="46">
        <f>F210</f>
        <v>3900</v>
      </c>
      <c r="G209" s="46">
        <f t="shared" ref="G209:L209" si="119">G210</f>
        <v>0</v>
      </c>
      <c r="H209" s="46">
        <f t="shared" si="119"/>
        <v>0</v>
      </c>
      <c r="I209" s="46">
        <f t="shared" si="119"/>
        <v>0</v>
      </c>
      <c r="J209" s="46">
        <f t="shared" si="119"/>
        <v>4521.5</v>
      </c>
      <c r="K209" s="46">
        <f t="shared" si="119"/>
        <v>4521.5</v>
      </c>
      <c r="L209" s="46">
        <f t="shared" si="119"/>
        <v>4521.5</v>
      </c>
    </row>
    <row r="210" spans="1:19" ht="30" customHeight="1" x14ac:dyDescent="0.25">
      <c r="A210" s="44" t="s">
        <v>318</v>
      </c>
      <c r="B210" s="37" t="s">
        <v>143</v>
      </c>
      <c r="C210" s="37"/>
      <c r="D210" s="36">
        <f t="shared" ref="D210:I210" si="120">D212</f>
        <v>3900</v>
      </c>
      <c r="E210" s="36">
        <f t="shared" si="120"/>
        <v>0</v>
      </c>
      <c r="F210" s="46">
        <f t="shared" si="120"/>
        <v>3900</v>
      </c>
      <c r="G210" s="46">
        <f t="shared" si="120"/>
        <v>0</v>
      </c>
      <c r="H210" s="46">
        <f t="shared" si="120"/>
        <v>0</v>
      </c>
      <c r="I210" s="46">
        <f t="shared" si="120"/>
        <v>0</v>
      </c>
      <c r="J210" s="46">
        <f>J211+J212</f>
        <v>4521.5</v>
      </c>
      <c r="K210" s="46">
        <f>K211+K212</f>
        <v>4521.5</v>
      </c>
      <c r="L210" s="46">
        <f>L211+L212</f>
        <v>4521.5</v>
      </c>
    </row>
    <row r="211" spans="1:19" ht="30" customHeight="1" x14ac:dyDescent="0.25">
      <c r="A211" s="10" t="s">
        <v>33</v>
      </c>
      <c r="B211" s="11" t="s">
        <v>143</v>
      </c>
      <c r="C211" s="11" t="s">
        <v>34</v>
      </c>
      <c r="D211" s="4">
        <v>3900</v>
      </c>
      <c r="E211" s="4"/>
      <c r="F211" s="16">
        <f>D211+E211</f>
        <v>3900</v>
      </c>
      <c r="G211" s="16"/>
      <c r="H211" s="16"/>
      <c r="I211" s="16"/>
      <c r="J211" s="16">
        <f>F211+621.5</f>
        <v>4521.5</v>
      </c>
      <c r="K211" s="16">
        <f>2097.86+2373.55-0.01</f>
        <v>4471.3999999999996</v>
      </c>
      <c r="L211" s="16">
        <v>4471.3999999999996</v>
      </c>
    </row>
    <row r="212" spans="1:19" ht="30" customHeight="1" x14ac:dyDescent="0.25">
      <c r="A212" s="10" t="s">
        <v>214</v>
      </c>
      <c r="B212" s="11" t="s">
        <v>143</v>
      </c>
      <c r="C212" s="11" t="s">
        <v>167</v>
      </c>
      <c r="D212" s="4">
        <v>3900</v>
      </c>
      <c r="E212" s="4"/>
      <c r="F212" s="16">
        <f>D212+E212</f>
        <v>3900</v>
      </c>
      <c r="G212" s="16"/>
      <c r="H212" s="16"/>
      <c r="I212" s="16"/>
      <c r="J212" s="16">
        <v>0</v>
      </c>
      <c r="K212" s="16">
        <v>50.1</v>
      </c>
      <c r="L212" s="16">
        <v>50.1</v>
      </c>
    </row>
    <row r="213" spans="1:19" ht="25.5" customHeight="1" x14ac:dyDescent="0.25">
      <c r="A213" s="44" t="s">
        <v>272</v>
      </c>
      <c r="B213" s="37" t="s">
        <v>273</v>
      </c>
      <c r="C213" s="37"/>
      <c r="D213" s="36" t="e">
        <f>#REF!</f>
        <v>#REF!</v>
      </c>
      <c r="E213" s="36" t="e">
        <f>#REF!</f>
        <v>#REF!</v>
      </c>
      <c r="F213" s="46">
        <f>F215</f>
        <v>0</v>
      </c>
      <c r="G213" s="46">
        <f t="shared" ref="G213:I213" si="121">G215</f>
        <v>1093.54</v>
      </c>
      <c r="H213" s="46">
        <f t="shared" si="121"/>
        <v>0</v>
      </c>
      <c r="I213" s="46">
        <f t="shared" si="121"/>
        <v>69.739999999999995</v>
      </c>
      <c r="J213" s="46">
        <f>J214+J215</f>
        <v>1163.28</v>
      </c>
      <c r="K213" s="46">
        <f>K214+K215</f>
        <v>3761.48</v>
      </c>
      <c r="L213" s="46">
        <f>L214+L215</f>
        <v>2811.3599999999997</v>
      </c>
    </row>
    <row r="214" spans="1:19" s="2" customFormat="1" ht="30" customHeight="1" x14ac:dyDescent="0.25">
      <c r="A214" s="10" t="s">
        <v>33</v>
      </c>
      <c r="B214" s="11" t="s">
        <v>273</v>
      </c>
      <c r="C214" s="11" t="s">
        <v>34</v>
      </c>
      <c r="D214" s="4">
        <f>D222</f>
        <v>4500</v>
      </c>
      <c r="E214" s="4">
        <f>E222</f>
        <v>0</v>
      </c>
      <c r="F214" s="16"/>
      <c r="G214" s="16">
        <v>1093.54</v>
      </c>
      <c r="H214" s="16"/>
      <c r="I214" s="16">
        <v>69.739999999999995</v>
      </c>
      <c r="J214" s="16">
        <f>G214+I214</f>
        <v>1163.28</v>
      </c>
      <c r="K214" s="16">
        <f>1598.21+101.63</f>
        <v>1699.8400000000001</v>
      </c>
      <c r="L214" s="16">
        <v>1236.0999999999999</v>
      </c>
    </row>
    <row r="215" spans="1:19" s="2" customFormat="1" ht="30" customHeight="1" x14ac:dyDescent="0.25">
      <c r="A215" s="10" t="s">
        <v>214</v>
      </c>
      <c r="B215" s="11" t="s">
        <v>273</v>
      </c>
      <c r="C215" s="11" t="s">
        <v>167</v>
      </c>
      <c r="D215" s="4">
        <f>D224</f>
        <v>4500</v>
      </c>
      <c r="E215" s="4">
        <f>E224</f>
        <v>0</v>
      </c>
      <c r="F215" s="16"/>
      <c r="G215" s="16">
        <v>1093.54</v>
      </c>
      <c r="H215" s="16"/>
      <c r="I215" s="16">
        <v>69.739999999999995</v>
      </c>
      <c r="J215" s="16">
        <v>0</v>
      </c>
      <c r="K215" s="16">
        <v>2061.64</v>
      </c>
      <c r="L215" s="16">
        <v>1575.26</v>
      </c>
    </row>
    <row r="216" spans="1:19" s="2" customFormat="1" ht="30" customHeight="1" x14ac:dyDescent="0.25">
      <c r="A216" s="24" t="s">
        <v>312</v>
      </c>
      <c r="B216" s="25" t="s">
        <v>209</v>
      </c>
      <c r="C216" s="25"/>
      <c r="D216" s="27">
        <f>D217</f>
        <v>0</v>
      </c>
      <c r="E216" s="27">
        <f t="shared" ref="E216:I217" si="122">E217</f>
        <v>0</v>
      </c>
      <c r="F216" s="27">
        <f t="shared" si="122"/>
        <v>12200</v>
      </c>
      <c r="G216" s="27">
        <f t="shared" si="122"/>
        <v>3677.51</v>
      </c>
      <c r="H216" s="27">
        <f t="shared" si="122"/>
        <v>0</v>
      </c>
      <c r="I216" s="27">
        <f t="shared" si="122"/>
        <v>175.9</v>
      </c>
      <c r="J216" s="27">
        <f>J217+J222+J225+J227+J230</f>
        <v>39271.79</v>
      </c>
      <c r="K216" s="27">
        <f>K217+K222+K225+K227+K230</f>
        <v>71344.259999999995</v>
      </c>
      <c r="L216" s="27">
        <f>L217+L222+L225+L227+L230</f>
        <v>59138.83</v>
      </c>
    </row>
    <row r="217" spans="1:19" s="2" customFormat="1" ht="30" customHeight="1" x14ac:dyDescent="0.25">
      <c r="A217" s="21" t="s">
        <v>263</v>
      </c>
      <c r="B217" s="22" t="s">
        <v>254</v>
      </c>
      <c r="C217" s="22"/>
      <c r="D217" s="28">
        <f>D218</f>
        <v>0</v>
      </c>
      <c r="E217" s="28">
        <f t="shared" si="122"/>
        <v>0</v>
      </c>
      <c r="F217" s="28">
        <f>F218+F220</f>
        <v>12200</v>
      </c>
      <c r="G217" s="28">
        <f t="shared" ref="G217:J217" si="123">G218+G220</f>
        <v>3677.51</v>
      </c>
      <c r="H217" s="28">
        <f t="shared" si="123"/>
        <v>0</v>
      </c>
      <c r="I217" s="28">
        <f t="shared" si="123"/>
        <v>175.9</v>
      </c>
      <c r="J217" s="28">
        <f t="shared" si="123"/>
        <v>16053.41</v>
      </c>
      <c r="K217" s="28">
        <f t="shared" ref="K217:L217" si="124">K218+K220</f>
        <v>40352.619999999995</v>
      </c>
      <c r="L217" s="28">
        <f t="shared" si="124"/>
        <v>37965.919999999998</v>
      </c>
    </row>
    <row r="218" spans="1:19" s="2" customFormat="1" ht="51.75" customHeight="1" x14ac:dyDescent="0.25">
      <c r="A218" s="44" t="s">
        <v>264</v>
      </c>
      <c r="B218" s="37" t="s">
        <v>254</v>
      </c>
      <c r="C218" s="37"/>
      <c r="D218" s="46">
        <f>D221</f>
        <v>0</v>
      </c>
      <c r="E218" s="46">
        <f>E221</f>
        <v>0</v>
      </c>
      <c r="F218" s="46">
        <f>F219</f>
        <v>12200</v>
      </c>
      <c r="G218" s="46">
        <f t="shared" ref="G218:L218" si="125">G219</f>
        <v>0</v>
      </c>
      <c r="H218" s="46">
        <f t="shared" si="125"/>
        <v>0</v>
      </c>
      <c r="I218" s="46">
        <f t="shared" si="125"/>
        <v>0</v>
      </c>
      <c r="J218" s="46">
        <f t="shared" si="125"/>
        <v>12200</v>
      </c>
      <c r="K218" s="46">
        <f t="shared" si="125"/>
        <v>13200</v>
      </c>
      <c r="L218" s="46">
        <f t="shared" si="125"/>
        <v>12779.59</v>
      </c>
    </row>
    <row r="219" spans="1:19" s="2" customFormat="1" ht="30" customHeight="1" x14ac:dyDescent="0.25">
      <c r="A219" s="10" t="s">
        <v>33</v>
      </c>
      <c r="B219" s="11" t="s">
        <v>254</v>
      </c>
      <c r="C219" s="11" t="s">
        <v>34</v>
      </c>
      <c r="D219" s="16">
        <v>12200</v>
      </c>
      <c r="E219" s="16"/>
      <c r="F219" s="16">
        <f>D219+E219</f>
        <v>12200</v>
      </c>
      <c r="G219" s="16"/>
      <c r="H219" s="16"/>
      <c r="I219" s="16"/>
      <c r="J219" s="16">
        <f>F219+G219+I219</f>
        <v>12200</v>
      </c>
      <c r="K219" s="16">
        <v>13200</v>
      </c>
      <c r="L219" s="90">
        <v>12779.59</v>
      </c>
      <c r="M219" s="91"/>
      <c r="N219" s="91"/>
      <c r="O219" s="91"/>
      <c r="P219" s="91"/>
      <c r="Q219" s="91"/>
      <c r="R219" s="91"/>
      <c r="S219" s="91"/>
    </row>
    <row r="220" spans="1:19" s="2" customFormat="1" ht="30" customHeight="1" x14ac:dyDescent="0.25">
      <c r="A220" s="44" t="s">
        <v>265</v>
      </c>
      <c r="B220" s="37" t="s">
        <v>254</v>
      </c>
      <c r="C220" s="37"/>
      <c r="D220" s="46"/>
      <c r="E220" s="46"/>
      <c r="F220" s="46"/>
      <c r="G220" s="46">
        <f t="shared" ref="G220:L220" si="126">G221</f>
        <v>3677.51</v>
      </c>
      <c r="H220" s="46">
        <f t="shared" si="126"/>
        <v>0</v>
      </c>
      <c r="I220" s="46">
        <f t="shared" si="126"/>
        <v>175.9</v>
      </c>
      <c r="J220" s="46">
        <f t="shared" si="126"/>
        <v>3853.4100000000003</v>
      </c>
      <c r="K220" s="46">
        <f t="shared" si="126"/>
        <v>27152.62</v>
      </c>
      <c r="L220" s="78">
        <f t="shared" si="126"/>
        <v>25186.33</v>
      </c>
      <c r="M220" s="91"/>
      <c r="N220" s="91"/>
      <c r="O220" s="91"/>
      <c r="P220" s="91"/>
      <c r="Q220" s="91"/>
      <c r="R220" s="91"/>
      <c r="S220" s="91"/>
    </row>
    <row r="221" spans="1:19" s="2" customFormat="1" ht="30" customHeight="1" x14ac:dyDescent="0.25">
      <c r="A221" s="10" t="s">
        <v>33</v>
      </c>
      <c r="B221" s="11" t="s">
        <v>254</v>
      </c>
      <c r="C221" s="11" t="s">
        <v>34</v>
      </c>
      <c r="D221" s="16"/>
      <c r="E221" s="16"/>
      <c r="F221" s="16"/>
      <c r="G221" s="16">
        <v>3677.51</v>
      </c>
      <c r="H221" s="16"/>
      <c r="I221" s="16">
        <v>175.9</v>
      </c>
      <c r="J221" s="16">
        <f>G221+I221</f>
        <v>3853.4100000000003</v>
      </c>
      <c r="K221" s="16">
        <v>27152.62</v>
      </c>
      <c r="L221" s="90">
        <v>25186.33</v>
      </c>
      <c r="M221" s="91"/>
      <c r="N221" s="91"/>
      <c r="O221" s="91"/>
      <c r="P221" s="91"/>
      <c r="Q221" s="91"/>
      <c r="R221" s="91"/>
      <c r="S221" s="91"/>
    </row>
    <row r="222" spans="1:19" ht="30" customHeight="1" x14ac:dyDescent="0.25">
      <c r="A222" s="44" t="s">
        <v>274</v>
      </c>
      <c r="B222" s="37" t="s">
        <v>210</v>
      </c>
      <c r="C222" s="37"/>
      <c r="D222" s="36">
        <f>D224</f>
        <v>4500</v>
      </c>
      <c r="E222" s="36">
        <f>E224</f>
        <v>0</v>
      </c>
      <c r="F222" s="46">
        <f>F224+F226</f>
        <v>4500</v>
      </c>
      <c r="G222" s="46">
        <f t="shared" ref="G222:I222" si="127">G224+G226</f>
        <v>3964.13</v>
      </c>
      <c r="H222" s="46">
        <f t="shared" si="127"/>
        <v>0</v>
      </c>
      <c r="I222" s="46">
        <f t="shared" si="127"/>
        <v>4500</v>
      </c>
      <c r="J222" s="46">
        <f>J224</f>
        <v>3964.130000000001</v>
      </c>
      <c r="K222" s="46">
        <f>K223+K224</f>
        <v>11737.390000000001</v>
      </c>
      <c r="L222" s="78">
        <f>L223+L224</f>
        <v>6707.8</v>
      </c>
      <c r="M222" s="88"/>
      <c r="N222" s="88"/>
      <c r="O222" s="88"/>
      <c r="P222" s="88"/>
      <c r="Q222" s="88"/>
      <c r="R222" s="88"/>
      <c r="S222" s="88"/>
    </row>
    <row r="223" spans="1:19" ht="33.75" customHeight="1" x14ac:dyDescent="0.25">
      <c r="A223" s="10" t="s">
        <v>33</v>
      </c>
      <c r="B223" s="11" t="s">
        <v>210</v>
      </c>
      <c r="C223" s="11" t="s">
        <v>34</v>
      </c>
      <c r="D223" s="4">
        <v>4500</v>
      </c>
      <c r="E223" s="4"/>
      <c r="F223" s="16">
        <v>4500</v>
      </c>
      <c r="G223" s="16">
        <v>3964.13</v>
      </c>
      <c r="H223" s="16"/>
      <c r="I223" s="16">
        <f>-3427.31-1072.69</f>
        <v>-4500</v>
      </c>
      <c r="J223" s="16">
        <f>F223+G223+I223</f>
        <v>3964.130000000001</v>
      </c>
      <c r="K223" s="16">
        <v>9719.94</v>
      </c>
      <c r="L223" s="16">
        <v>6707.8</v>
      </c>
    </row>
    <row r="224" spans="1:19" ht="33.75" customHeight="1" x14ac:dyDescent="0.25">
      <c r="A224" s="10" t="s">
        <v>214</v>
      </c>
      <c r="B224" s="11" t="s">
        <v>210</v>
      </c>
      <c r="C224" s="11" t="s">
        <v>167</v>
      </c>
      <c r="D224" s="4">
        <v>4500</v>
      </c>
      <c r="E224" s="4"/>
      <c r="F224" s="16">
        <v>4500</v>
      </c>
      <c r="G224" s="16">
        <v>3964.13</v>
      </c>
      <c r="H224" s="16"/>
      <c r="I224" s="16">
        <f>-3427.31-1072.69</f>
        <v>-4500</v>
      </c>
      <c r="J224" s="16">
        <f>F224+G224+I224</f>
        <v>3964.130000000001</v>
      </c>
      <c r="K224" s="16">
        <v>2017.45</v>
      </c>
      <c r="L224" s="16"/>
    </row>
    <row r="225" spans="1:12" ht="97.5" customHeight="1" x14ac:dyDescent="0.25">
      <c r="A225" s="75" t="s">
        <v>293</v>
      </c>
      <c r="B225" s="76" t="s">
        <v>311</v>
      </c>
      <c r="C225" s="76"/>
      <c r="D225" s="77">
        <v>4500</v>
      </c>
      <c r="E225" s="77"/>
      <c r="F225" s="78"/>
      <c r="G225" s="78"/>
      <c r="H225" s="78"/>
      <c r="I225" s="78">
        <f>4500+4500</f>
        <v>9000</v>
      </c>
      <c r="J225" s="78">
        <f>J226</f>
        <v>4500</v>
      </c>
      <c r="K225" s="78">
        <f>K226</f>
        <v>4500</v>
      </c>
      <c r="L225" s="78">
        <f>L226</f>
        <v>4500</v>
      </c>
    </row>
    <row r="226" spans="1:12" ht="19.5" customHeight="1" x14ac:dyDescent="0.25">
      <c r="A226" s="10" t="s">
        <v>217</v>
      </c>
      <c r="B226" s="11" t="s">
        <v>311</v>
      </c>
      <c r="C226" s="11" t="s">
        <v>50</v>
      </c>
      <c r="D226" s="4">
        <v>4500</v>
      </c>
      <c r="E226" s="4"/>
      <c r="F226" s="16"/>
      <c r="G226" s="16"/>
      <c r="H226" s="16"/>
      <c r="I226" s="16">
        <f>4500+4500</f>
        <v>9000</v>
      </c>
      <c r="J226" s="16">
        <f>F226+G226+I226-4500</f>
        <v>4500</v>
      </c>
      <c r="K226" s="16">
        <v>4500</v>
      </c>
      <c r="L226" s="16">
        <v>4500</v>
      </c>
    </row>
    <row r="227" spans="1:12" ht="36.75" customHeight="1" x14ac:dyDescent="0.25">
      <c r="A227" s="44" t="s">
        <v>308</v>
      </c>
      <c r="B227" s="37" t="s">
        <v>309</v>
      </c>
      <c r="C227" s="37"/>
      <c r="D227" s="36"/>
      <c r="E227" s="36"/>
      <c r="F227" s="46"/>
      <c r="G227" s="46"/>
      <c r="H227" s="46"/>
      <c r="I227" s="46"/>
      <c r="J227" s="46">
        <f>J229</f>
        <v>5000</v>
      </c>
      <c r="K227" s="46">
        <f>K228+K229</f>
        <v>5000</v>
      </c>
      <c r="L227" s="46">
        <f>L228+L229</f>
        <v>210.86</v>
      </c>
    </row>
    <row r="228" spans="1:12" ht="39" customHeight="1" x14ac:dyDescent="0.25">
      <c r="A228" s="10" t="s">
        <v>33</v>
      </c>
      <c r="B228" s="11" t="s">
        <v>309</v>
      </c>
      <c r="C228" s="11" t="s">
        <v>34</v>
      </c>
      <c r="D228" s="4"/>
      <c r="E228" s="4"/>
      <c r="F228" s="16"/>
      <c r="G228" s="16"/>
      <c r="H228" s="16"/>
      <c r="I228" s="16"/>
      <c r="J228" s="16">
        <v>5000</v>
      </c>
      <c r="K228" s="16">
        <v>4789.1400000000003</v>
      </c>
      <c r="L228" s="16">
        <v>0</v>
      </c>
    </row>
    <row r="229" spans="1:12" ht="39" customHeight="1" x14ac:dyDescent="0.25">
      <c r="A229" s="10" t="s">
        <v>214</v>
      </c>
      <c r="B229" s="11" t="s">
        <v>309</v>
      </c>
      <c r="C229" s="11" t="s">
        <v>167</v>
      </c>
      <c r="D229" s="4"/>
      <c r="E229" s="4"/>
      <c r="F229" s="16"/>
      <c r="G229" s="16"/>
      <c r="H229" s="16"/>
      <c r="I229" s="16"/>
      <c r="J229" s="16">
        <v>5000</v>
      </c>
      <c r="K229" s="16">
        <v>210.86</v>
      </c>
      <c r="L229" s="16">
        <v>210.86</v>
      </c>
    </row>
    <row r="230" spans="1:12" ht="21" customHeight="1" x14ac:dyDescent="0.25">
      <c r="A230" s="44" t="s">
        <v>327</v>
      </c>
      <c r="B230" s="37" t="s">
        <v>209</v>
      </c>
      <c r="C230" s="37"/>
      <c r="D230" s="36"/>
      <c r="E230" s="36"/>
      <c r="F230" s="46"/>
      <c r="G230" s="46"/>
      <c r="H230" s="46"/>
      <c r="I230" s="46"/>
      <c r="J230" s="46">
        <f>J231+J233</f>
        <v>9754.25</v>
      </c>
      <c r="K230" s="46">
        <f>K231+K233</f>
        <v>9754.25</v>
      </c>
      <c r="L230" s="46">
        <f>L231+L233</f>
        <v>9754.25</v>
      </c>
    </row>
    <row r="231" spans="1:12" ht="52.5" customHeight="1" x14ac:dyDescent="0.25">
      <c r="A231" s="44" t="s">
        <v>349</v>
      </c>
      <c r="B231" s="37" t="s">
        <v>302</v>
      </c>
      <c r="C231" s="37"/>
      <c r="D231" s="36"/>
      <c r="E231" s="36"/>
      <c r="F231" s="46"/>
      <c r="G231" s="46"/>
      <c r="H231" s="46"/>
      <c r="I231" s="46"/>
      <c r="J231" s="46">
        <f>J232</f>
        <v>5249</v>
      </c>
      <c r="K231" s="46">
        <f>K232</f>
        <v>5249</v>
      </c>
      <c r="L231" s="46">
        <f>L232</f>
        <v>5249</v>
      </c>
    </row>
    <row r="232" spans="1:12" ht="23.25" customHeight="1" x14ac:dyDescent="0.25">
      <c r="A232" s="10" t="s">
        <v>217</v>
      </c>
      <c r="B232" s="11" t="s">
        <v>302</v>
      </c>
      <c r="C232" s="11" t="s">
        <v>50</v>
      </c>
      <c r="D232" s="4"/>
      <c r="E232" s="4"/>
      <c r="F232" s="16"/>
      <c r="G232" s="16"/>
      <c r="H232" s="16"/>
      <c r="I232" s="16"/>
      <c r="J232" s="16">
        <v>5249</v>
      </c>
      <c r="K232" s="16">
        <v>5249</v>
      </c>
      <c r="L232" s="16">
        <v>5249</v>
      </c>
    </row>
    <row r="233" spans="1:12" ht="37.5" customHeight="1" x14ac:dyDescent="0.25">
      <c r="A233" s="44" t="s">
        <v>328</v>
      </c>
      <c r="B233" s="37" t="s">
        <v>310</v>
      </c>
      <c r="C233" s="11"/>
      <c r="D233" s="4"/>
      <c r="E233" s="4"/>
      <c r="F233" s="16"/>
      <c r="G233" s="16"/>
      <c r="H233" s="16"/>
      <c r="I233" s="16"/>
      <c r="J233" s="46">
        <f>J234</f>
        <v>4505.25</v>
      </c>
      <c r="K233" s="46">
        <f>K234</f>
        <v>4505.25</v>
      </c>
      <c r="L233" s="46">
        <f>L234</f>
        <v>4505.25</v>
      </c>
    </row>
    <row r="234" spans="1:12" ht="28.5" customHeight="1" x14ac:dyDescent="0.25">
      <c r="A234" s="10" t="s">
        <v>217</v>
      </c>
      <c r="B234" s="11" t="s">
        <v>310</v>
      </c>
      <c r="C234" s="11" t="s">
        <v>50</v>
      </c>
      <c r="D234" s="4"/>
      <c r="E234" s="4"/>
      <c r="F234" s="16"/>
      <c r="G234" s="16"/>
      <c r="H234" s="16"/>
      <c r="I234" s="16"/>
      <c r="J234" s="16">
        <v>4505.25</v>
      </c>
      <c r="K234" s="16">
        <v>4505.25</v>
      </c>
      <c r="L234" s="16">
        <v>4505.25</v>
      </c>
    </row>
    <row r="235" spans="1:12" ht="33.75" customHeight="1" x14ac:dyDescent="0.25">
      <c r="A235" s="5" t="s">
        <v>69</v>
      </c>
      <c r="B235" s="7" t="s">
        <v>70</v>
      </c>
      <c r="C235" s="7"/>
      <c r="D235" s="6">
        <f>D236+D239+D246+D294+D296</f>
        <v>96627.310000000012</v>
      </c>
      <c r="E235" s="6">
        <f>E236+E246+E239+E296+E292+E294</f>
        <v>260</v>
      </c>
      <c r="F235" s="15">
        <f>F236+F246+F244+F239+F296+F292+F294</f>
        <v>260115.17</v>
      </c>
      <c r="G235" s="15">
        <f t="shared" ref="G235:J235" si="128">G236+G246+G244+G239+G296+G292+G294</f>
        <v>0</v>
      </c>
      <c r="H235" s="15">
        <f t="shared" si="128"/>
        <v>-3000.01</v>
      </c>
      <c r="I235" s="15">
        <f t="shared" si="128"/>
        <v>0</v>
      </c>
      <c r="J235" s="15">
        <f t="shared" si="128"/>
        <v>172611.74000000002</v>
      </c>
      <c r="K235" s="15">
        <f>K236+K246+K244+K239+K296+K292+K294</f>
        <v>172611.73999999996</v>
      </c>
      <c r="L235" s="15">
        <f>L236+L246+L244+L239+L296+L292+L294</f>
        <v>171685.30999999997</v>
      </c>
    </row>
    <row r="236" spans="1:12" ht="51.75" customHeight="1" x14ac:dyDescent="0.25">
      <c r="A236" s="21" t="s">
        <v>71</v>
      </c>
      <c r="B236" s="29" t="s">
        <v>72</v>
      </c>
      <c r="C236" s="29"/>
      <c r="D236" s="30">
        <f t="shared" ref="D236:L237" si="129">D237</f>
        <v>2295</v>
      </c>
      <c r="E236" s="30">
        <f t="shared" si="129"/>
        <v>0</v>
      </c>
      <c r="F236" s="65">
        <f t="shared" si="129"/>
        <v>2295</v>
      </c>
      <c r="G236" s="65">
        <f t="shared" si="129"/>
        <v>0</v>
      </c>
      <c r="H236" s="65">
        <f t="shared" si="129"/>
        <v>0</v>
      </c>
      <c r="I236" s="65">
        <f t="shared" si="129"/>
        <v>0</v>
      </c>
      <c r="J236" s="65">
        <f t="shared" si="129"/>
        <v>2710</v>
      </c>
      <c r="K236" s="65">
        <f t="shared" si="129"/>
        <v>2710</v>
      </c>
      <c r="L236" s="65">
        <f t="shared" si="129"/>
        <v>2710</v>
      </c>
    </row>
    <row r="237" spans="1:12" ht="66.75" customHeight="1" x14ac:dyDescent="0.25">
      <c r="A237" s="44" t="s">
        <v>76</v>
      </c>
      <c r="B237" s="49" t="s">
        <v>73</v>
      </c>
      <c r="C237" s="49"/>
      <c r="D237" s="50">
        <f t="shared" si="129"/>
        <v>2295</v>
      </c>
      <c r="E237" s="50">
        <f t="shared" si="129"/>
        <v>0</v>
      </c>
      <c r="F237" s="66">
        <f t="shared" si="129"/>
        <v>2295</v>
      </c>
      <c r="G237" s="66">
        <f t="shared" si="129"/>
        <v>0</v>
      </c>
      <c r="H237" s="66">
        <f t="shared" si="129"/>
        <v>0</v>
      </c>
      <c r="I237" s="66">
        <f t="shared" si="129"/>
        <v>0</v>
      </c>
      <c r="J237" s="66">
        <f t="shared" si="129"/>
        <v>2710</v>
      </c>
      <c r="K237" s="66">
        <f t="shared" si="129"/>
        <v>2710</v>
      </c>
      <c r="L237" s="66">
        <f t="shared" si="129"/>
        <v>2710</v>
      </c>
    </row>
    <row r="238" spans="1:12" ht="84" customHeight="1" x14ac:dyDescent="0.25">
      <c r="A238" s="10" t="s">
        <v>31</v>
      </c>
      <c r="B238" s="14" t="s">
        <v>73</v>
      </c>
      <c r="C238" s="14" t="s">
        <v>32</v>
      </c>
      <c r="D238" s="13">
        <v>2295</v>
      </c>
      <c r="E238" s="13"/>
      <c r="F238" s="67">
        <f>D238+E238</f>
        <v>2295</v>
      </c>
      <c r="G238" s="67"/>
      <c r="H238" s="67"/>
      <c r="I238" s="67"/>
      <c r="J238" s="67">
        <f>F238+415</f>
        <v>2710</v>
      </c>
      <c r="K238" s="67">
        <v>2710</v>
      </c>
      <c r="L238" s="67">
        <v>2710</v>
      </c>
    </row>
    <row r="239" spans="1:12" ht="34.5" customHeight="1" x14ac:dyDescent="0.25">
      <c r="A239" s="21" t="s">
        <v>48</v>
      </c>
      <c r="B239" s="33" t="s">
        <v>86</v>
      </c>
      <c r="C239" s="33"/>
      <c r="D239" s="34">
        <f t="shared" ref="D239:L239" si="130">D240</f>
        <v>2749.6</v>
      </c>
      <c r="E239" s="34">
        <f t="shared" si="130"/>
        <v>0</v>
      </c>
      <c r="F239" s="68">
        <f t="shared" si="130"/>
        <v>2749.6</v>
      </c>
      <c r="G239" s="68">
        <f t="shared" si="130"/>
        <v>0</v>
      </c>
      <c r="H239" s="68">
        <f t="shared" si="130"/>
        <v>0</v>
      </c>
      <c r="I239" s="68">
        <f t="shared" si="130"/>
        <v>0</v>
      </c>
      <c r="J239" s="68">
        <f t="shared" si="130"/>
        <v>3020.3500000000004</v>
      </c>
      <c r="K239" s="68">
        <f t="shared" si="130"/>
        <v>3108.27</v>
      </c>
      <c r="L239" s="68">
        <f t="shared" si="130"/>
        <v>3096.81</v>
      </c>
    </row>
    <row r="240" spans="1:12" s="71" customFormat="1" ht="30.75" customHeight="1" x14ac:dyDescent="0.25">
      <c r="A240" s="44" t="s">
        <v>2</v>
      </c>
      <c r="B240" s="49" t="s">
        <v>86</v>
      </c>
      <c r="C240" s="49"/>
      <c r="D240" s="50">
        <f>SUM(D241:D245)</f>
        <v>2749.6</v>
      </c>
      <c r="E240" s="50">
        <f>SUM(E241:E245)</f>
        <v>0</v>
      </c>
      <c r="F240" s="66">
        <f>F241+F242+F243</f>
        <v>2749.6</v>
      </c>
      <c r="G240" s="66">
        <f t="shared" ref="G240:J240" si="131">G241+G242+G243</f>
        <v>0</v>
      </c>
      <c r="H240" s="66">
        <f t="shared" si="131"/>
        <v>0</v>
      </c>
      <c r="I240" s="66">
        <f t="shared" si="131"/>
        <v>0</v>
      </c>
      <c r="J240" s="66">
        <f t="shared" si="131"/>
        <v>3020.3500000000004</v>
      </c>
      <c r="K240" s="66">
        <f t="shared" ref="K240:L240" si="132">K241+K242+K243</f>
        <v>3108.27</v>
      </c>
      <c r="L240" s="66">
        <f t="shared" si="132"/>
        <v>3096.81</v>
      </c>
    </row>
    <row r="241" spans="1:12" ht="78.75" customHeight="1" x14ac:dyDescent="0.25">
      <c r="A241" s="10" t="s">
        <v>31</v>
      </c>
      <c r="B241" s="14" t="s">
        <v>86</v>
      </c>
      <c r="C241" s="14" t="s">
        <v>32</v>
      </c>
      <c r="D241" s="13">
        <v>2074.6</v>
      </c>
      <c r="E241" s="13"/>
      <c r="F241" s="67">
        <f>D241+E241</f>
        <v>2074.6</v>
      </c>
      <c r="G241" s="67"/>
      <c r="H241" s="67"/>
      <c r="I241" s="67">
        <v>27.26</v>
      </c>
      <c r="J241" s="67">
        <f>F241+I241+270.75</f>
        <v>2372.61</v>
      </c>
      <c r="K241" s="67">
        <v>2412.61</v>
      </c>
      <c r="L241" s="67">
        <v>2412.61</v>
      </c>
    </row>
    <row r="242" spans="1:12" ht="31.5" x14ac:dyDescent="0.25">
      <c r="A242" s="10" t="s">
        <v>33</v>
      </c>
      <c r="B242" s="14" t="s">
        <v>86</v>
      </c>
      <c r="C242" s="14" t="s">
        <v>34</v>
      </c>
      <c r="D242" s="13">
        <v>653</v>
      </c>
      <c r="E242" s="13"/>
      <c r="F242" s="67">
        <f>D242+E242</f>
        <v>653</v>
      </c>
      <c r="G242" s="67"/>
      <c r="H242" s="67"/>
      <c r="I242" s="67">
        <v>-27.26</v>
      </c>
      <c r="J242" s="67">
        <f t="shared" ref="J242:J243" si="133">F242+I242</f>
        <v>625.74</v>
      </c>
      <c r="K242" s="67">
        <v>673.66</v>
      </c>
      <c r="L242" s="67">
        <v>671.66</v>
      </c>
    </row>
    <row r="243" spans="1:12" ht="15.75" x14ac:dyDescent="0.25">
      <c r="A243" s="10" t="s">
        <v>217</v>
      </c>
      <c r="B243" s="14" t="s">
        <v>86</v>
      </c>
      <c r="C243" s="14" t="s">
        <v>50</v>
      </c>
      <c r="D243" s="13">
        <v>22</v>
      </c>
      <c r="E243" s="13"/>
      <c r="F243" s="67">
        <f>D243+E243</f>
        <v>22</v>
      </c>
      <c r="G243" s="67"/>
      <c r="H243" s="67"/>
      <c r="I243" s="67"/>
      <c r="J243" s="67">
        <f t="shared" si="133"/>
        <v>22</v>
      </c>
      <c r="K243" s="67">
        <v>22</v>
      </c>
      <c r="L243" s="67">
        <v>12.54</v>
      </c>
    </row>
    <row r="244" spans="1:12" s="71" customFormat="1" ht="33" customHeight="1" x14ac:dyDescent="0.25">
      <c r="A244" s="44" t="s">
        <v>278</v>
      </c>
      <c r="B244" s="49" t="s">
        <v>277</v>
      </c>
      <c r="C244" s="49"/>
      <c r="D244" s="50"/>
      <c r="E244" s="50"/>
      <c r="F244" s="66">
        <f>F245</f>
        <v>0</v>
      </c>
      <c r="G244" s="66">
        <f t="shared" ref="G244:L244" si="134">G245</f>
        <v>0</v>
      </c>
      <c r="H244" s="66">
        <f t="shared" si="134"/>
        <v>0</v>
      </c>
      <c r="I244" s="66">
        <f t="shared" si="134"/>
        <v>50</v>
      </c>
      <c r="J244" s="66">
        <f t="shared" si="134"/>
        <v>50</v>
      </c>
      <c r="K244" s="66">
        <f t="shared" si="134"/>
        <v>8.58</v>
      </c>
      <c r="L244" s="66">
        <f t="shared" si="134"/>
        <v>8.58</v>
      </c>
    </row>
    <row r="245" spans="1:12" ht="31.5" x14ac:dyDescent="0.25">
      <c r="A245" s="10" t="s">
        <v>33</v>
      </c>
      <c r="B245" s="14" t="s">
        <v>277</v>
      </c>
      <c r="C245" s="14" t="s">
        <v>34</v>
      </c>
      <c r="D245" s="13"/>
      <c r="E245" s="13"/>
      <c r="F245" s="67"/>
      <c r="G245" s="67"/>
      <c r="H245" s="67"/>
      <c r="I245" s="67">
        <v>50</v>
      </c>
      <c r="J245" s="67">
        <f>I245</f>
        <v>50</v>
      </c>
      <c r="K245" s="67">
        <v>8.58</v>
      </c>
      <c r="L245" s="67">
        <v>8.58</v>
      </c>
    </row>
    <row r="246" spans="1:12" ht="31.5" x14ac:dyDescent="0.25">
      <c r="A246" s="24" t="s">
        <v>84</v>
      </c>
      <c r="B246" s="25" t="s">
        <v>85</v>
      </c>
      <c r="C246" s="25"/>
      <c r="D246" s="26">
        <f>D247</f>
        <v>89688</v>
      </c>
      <c r="E246" s="26"/>
      <c r="F246" s="27">
        <f t="shared" ref="F246:L246" si="135">F247</f>
        <v>253046.01</v>
      </c>
      <c r="G246" s="27">
        <f t="shared" si="135"/>
        <v>0</v>
      </c>
      <c r="H246" s="27">
        <f t="shared" si="135"/>
        <v>-3000.01</v>
      </c>
      <c r="I246" s="27">
        <f t="shared" si="135"/>
        <v>0</v>
      </c>
      <c r="J246" s="27">
        <f t="shared" si="135"/>
        <v>164893.76000000001</v>
      </c>
      <c r="K246" s="27">
        <f t="shared" si="135"/>
        <v>164893.75999999998</v>
      </c>
      <c r="L246" s="27">
        <f t="shared" si="135"/>
        <v>163986.28999999998</v>
      </c>
    </row>
    <row r="247" spans="1:12" ht="48.75" customHeight="1" x14ac:dyDescent="0.25">
      <c r="A247" s="21" t="s">
        <v>83</v>
      </c>
      <c r="B247" s="22" t="s">
        <v>85</v>
      </c>
      <c r="C247" s="22"/>
      <c r="D247" s="23">
        <f>D248+D250+D252+D254+D256+D258+D260+D262+D264+D266+D270+D274+D276+D278+D280+D282</f>
        <v>89688</v>
      </c>
      <c r="E247" s="23"/>
      <c r="F247" s="28">
        <f>F248+F250+F252+F254+F256+F258+F260+F262+F264+F266+F270+F274+F276+F278+F280+F282+F268</f>
        <v>253046.01</v>
      </c>
      <c r="G247" s="28">
        <f t="shared" ref="G247:I247" si="136">G248+G250+G252+G254+G256+G258+G260+G262+G264+G266+G270+G274+G276+G278+G280+G282+G268</f>
        <v>0</v>
      </c>
      <c r="H247" s="28">
        <f t="shared" si="136"/>
        <v>-3000.01</v>
      </c>
      <c r="I247" s="28">
        <f t="shared" si="136"/>
        <v>0</v>
      </c>
      <c r="J247" s="28">
        <f>J248+J250+J252+J254+J256+J258+J260+J262+J264+J266+J270+J274+J276+J278+J280+J282+J268+J284+J286+J288+J290</f>
        <v>164893.76000000001</v>
      </c>
      <c r="K247" s="28">
        <f>K248+K250+K252+K254+K256+K258+K260+K262+K264+K266+K270+K274+K276+K278+K280+K282+K268+K284+K286+K288+K290+K272</f>
        <v>164893.75999999998</v>
      </c>
      <c r="L247" s="28">
        <f>L248+L250+L252+L254+L256+L258+L260+L262+L264+L266+L270+L274+L276+L278+L280+L282+L268+L284+L286+L288+L290+L272</f>
        <v>163986.28999999998</v>
      </c>
    </row>
    <row r="248" spans="1:12" s="3" customFormat="1" ht="31.5" x14ac:dyDescent="0.25">
      <c r="A248" s="60" t="s">
        <v>216</v>
      </c>
      <c r="B248" s="49" t="s">
        <v>228</v>
      </c>
      <c r="C248" s="49"/>
      <c r="D248" s="50">
        <f>D249</f>
        <v>340</v>
      </c>
      <c r="E248" s="50"/>
      <c r="F248" s="66">
        <f t="shared" ref="F248:L248" si="137">F249</f>
        <v>460.28</v>
      </c>
      <c r="G248" s="66">
        <f t="shared" si="137"/>
        <v>0</v>
      </c>
      <c r="H248" s="66">
        <f t="shared" si="137"/>
        <v>0</v>
      </c>
      <c r="I248" s="66">
        <f t="shared" si="137"/>
        <v>0</v>
      </c>
      <c r="J248" s="66">
        <f t="shared" si="137"/>
        <v>460.28</v>
      </c>
      <c r="K248" s="66">
        <f t="shared" si="137"/>
        <v>460.28</v>
      </c>
      <c r="L248" s="66">
        <f t="shared" si="137"/>
        <v>453.1</v>
      </c>
    </row>
    <row r="249" spans="1:12" s="3" customFormat="1" ht="15.75" x14ac:dyDescent="0.25">
      <c r="A249" s="31" t="s">
        <v>217</v>
      </c>
      <c r="B249" s="14" t="s">
        <v>228</v>
      </c>
      <c r="C249" s="14" t="s">
        <v>50</v>
      </c>
      <c r="D249" s="13">
        <v>340</v>
      </c>
      <c r="E249" s="13"/>
      <c r="F249" s="67">
        <f>D249+E249+120.28</f>
        <v>460.28</v>
      </c>
      <c r="G249" s="67"/>
      <c r="H249" s="67"/>
      <c r="I249" s="67"/>
      <c r="J249" s="67">
        <f>F249+H249</f>
        <v>460.28</v>
      </c>
      <c r="K249" s="67">
        <v>460.28</v>
      </c>
      <c r="L249" s="67">
        <v>453.1</v>
      </c>
    </row>
    <row r="250" spans="1:12" s="3" customFormat="1" ht="63" x14ac:dyDescent="0.25">
      <c r="A250" s="52" t="s">
        <v>350</v>
      </c>
      <c r="B250" s="49" t="s">
        <v>229</v>
      </c>
      <c r="C250" s="49"/>
      <c r="D250" s="50">
        <f>D251</f>
        <v>9917.41</v>
      </c>
      <c r="E250" s="50"/>
      <c r="F250" s="66">
        <f t="shared" ref="F250:L250" si="138">F251</f>
        <v>9917.41</v>
      </c>
      <c r="G250" s="66">
        <f t="shared" si="138"/>
        <v>0</v>
      </c>
      <c r="H250" s="66">
        <f t="shared" si="138"/>
        <v>0.01</v>
      </c>
      <c r="I250" s="66">
        <f t="shared" si="138"/>
        <v>0</v>
      </c>
      <c r="J250" s="66">
        <f t="shared" si="138"/>
        <v>2931.8199999999997</v>
      </c>
      <c r="K250" s="66">
        <f t="shared" si="138"/>
        <v>2931.82</v>
      </c>
      <c r="L250" s="66">
        <f t="shared" si="138"/>
        <v>2931.82</v>
      </c>
    </row>
    <row r="251" spans="1:12" s="3" customFormat="1" ht="15.75" x14ac:dyDescent="0.25">
      <c r="A251" s="32" t="s">
        <v>217</v>
      </c>
      <c r="B251" s="14" t="s">
        <v>229</v>
      </c>
      <c r="C251" s="14" t="s">
        <v>50</v>
      </c>
      <c r="D251" s="13">
        <v>9917.41</v>
      </c>
      <c r="E251" s="13"/>
      <c r="F251" s="67">
        <f>D251+E251</f>
        <v>9917.41</v>
      </c>
      <c r="G251" s="67"/>
      <c r="H251" s="67">
        <v>0.01</v>
      </c>
      <c r="I251" s="67"/>
      <c r="J251" s="67">
        <f>F251+H251-6985.6</f>
        <v>2931.8199999999997</v>
      </c>
      <c r="K251" s="67">
        <v>2931.82</v>
      </c>
      <c r="L251" s="67">
        <v>2931.82</v>
      </c>
    </row>
    <row r="252" spans="1:12" s="3" customFormat="1" ht="78.75" x14ac:dyDescent="0.25">
      <c r="A252" s="52" t="s">
        <v>218</v>
      </c>
      <c r="B252" s="49" t="s">
        <v>230</v>
      </c>
      <c r="C252" s="49"/>
      <c r="D252" s="50">
        <f>D253</f>
        <v>70</v>
      </c>
      <c r="E252" s="50"/>
      <c r="F252" s="66">
        <f t="shared" ref="F252:L252" si="139">F253</f>
        <v>70</v>
      </c>
      <c r="G252" s="66">
        <f t="shared" si="139"/>
        <v>0</v>
      </c>
      <c r="H252" s="66">
        <f t="shared" si="139"/>
        <v>0</v>
      </c>
      <c r="I252" s="66">
        <f t="shared" si="139"/>
        <v>0</v>
      </c>
      <c r="J252" s="66">
        <f t="shared" si="139"/>
        <v>48</v>
      </c>
      <c r="K252" s="66">
        <f t="shared" si="139"/>
        <v>34.299999999999997</v>
      </c>
      <c r="L252" s="66">
        <f t="shared" si="139"/>
        <v>34.299999999999997</v>
      </c>
    </row>
    <row r="253" spans="1:12" s="3" customFormat="1" ht="22.5" customHeight="1" x14ac:dyDescent="0.25">
      <c r="A253" s="32" t="s">
        <v>217</v>
      </c>
      <c r="B253" s="14" t="s">
        <v>230</v>
      </c>
      <c r="C253" s="14" t="s">
        <v>50</v>
      </c>
      <c r="D253" s="13">
        <v>70</v>
      </c>
      <c r="E253" s="13"/>
      <c r="F253" s="67">
        <f>D253+E253</f>
        <v>70</v>
      </c>
      <c r="G253" s="67"/>
      <c r="H253" s="67"/>
      <c r="I253" s="67"/>
      <c r="J253" s="67">
        <f>F253+H253-22</f>
        <v>48</v>
      </c>
      <c r="K253" s="67">
        <v>34.299999999999997</v>
      </c>
      <c r="L253" s="67">
        <v>34.299999999999997</v>
      </c>
    </row>
    <row r="254" spans="1:12" s="3" customFormat="1" ht="0.75" hidden="1" customHeight="1" x14ac:dyDescent="0.25">
      <c r="A254" s="52" t="s">
        <v>219</v>
      </c>
      <c r="B254" s="49" t="s">
        <v>231</v>
      </c>
      <c r="C254" s="49"/>
      <c r="D254" s="50">
        <f>D255</f>
        <v>25</v>
      </c>
      <c r="E254" s="50"/>
      <c r="F254" s="66">
        <f t="shared" ref="F254:K254" si="140">F255</f>
        <v>25</v>
      </c>
      <c r="G254" s="66">
        <f t="shared" si="140"/>
        <v>0</v>
      </c>
      <c r="H254" s="66">
        <f t="shared" si="140"/>
        <v>0</v>
      </c>
      <c r="I254" s="66">
        <f t="shared" si="140"/>
        <v>0</v>
      </c>
      <c r="J254" s="66">
        <f t="shared" si="140"/>
        <v>0</v>
      </c>
      <c r="K254" s="66">
        <f t="shared" si="140"/>
        <v>0</v>
      </c>
      <c r="L254" s="66">
        <f>L255</f>
        <v>0</v>
      </c>
    </row>
    <row r="255" spans="1:12" s="3" customFormat="1" ht="15.75" hidden="1" x14ac:dyDescent="0.25">
      <c r="A255" s="32" t="s">
        <v>217</v>
      </c>
      <c r="B255" s="14" t="s">
        <v>231</v>
      </c>
      <c r="C255" s="14" t="s">
        <v>50</v>
      </c>
      <c r="D255" s="13">
        <v>25</v>
      </c>
      <c r="E255" s="13"/>
      <c r="F255" s="67">
        <f>D255+E255</f>
        <v>25</v>
      </c>
      <c r="G255" s="67"/>
      <c r="H255" s="67"/>
      <c r="I255" s="67"/>
      <c r="J255" s="67">
        <f>F255+H255-25</f>
        <v>0</v>
      </c>
      <c r="K255" s="67"/>
      <c r="L255" s="67"/>
    </row>
    <row r="256" spans="1:12" s="3" customFormat="1" ht="31.5" x14ac:dyDescent="0.25">
      <c r="A256" s="52" t="s">
        <v>351</v>
      </c>
      <c r="B256" s="49" t="s">
        <v>232</v>
      </c>
      <c r="C256" s="49"/>
      <c r="D256" s="50">
        <f>D257</f>
        <v>1750</v>
      </c>
      <c r="E256" s="50"/>
      <c r="F256" s="66">
        <f t="shared" ref="F256:L256" si="141">F257</f>
        <v>1750</v>
      </c>
      <c r="G256" s="66">
        <f t="shared" si="141"/>
        <v>0</v>
      </c>
      <c r="H256" s="66">
        <f t="shared" si="141"/>
        <v>0</v>
      </c>
      <c r="I256" s="66">
        <f t="shared" si="141"/>
        <v>0</v>
      </c>
      <c r="J256" s="66">
        <f t="shared" si="141"/>
        <v>1150</v>
      </c>
      <c r="K256" s="66">
        <f t="shared" si="141"/>
        <v>1141.4000000000001</v>
      </c>
      <c r="L256" s="66">
        <f t="shared" si="141"/>
        <v>1141.02</v>
      </c>
    </row>
    <row r="257" spans="1:12" s="3" customFormat="1" ht="14.25" customHeight="1" x14ac:dyDescent="0.25">
      <c r="A257" s="32" t="s">
        <v>217</v>
      </c>
      <c r="B257" s="14" t="s">
        <v>232</v>
      </c>
      <c r="C257" s="14" t="s">
        <v>50</v>
      </c>
      <c r="D257" s="13">
        <v>1750</v>
      </c>
      <c r="E257" s="13"/>
      <c r="F257" s="67">
        <f>D257+E257</f>
        <v>1750</v>
      </c>
      <c r="G257" s="67"/>
      <c r="H257" s="67"/>
      <c r="I257" s="67"/>
      <c r="J257" s="67">
        <f>F257+H257-600</f>
        <v>1150</v>
      </c>
      <c r="K257" s="67">
        <v>1141.4000000000001</v>
      </c>
      <c r="L257" s="67">
        <v>1141.02</v>
      </c>
    </row>
    <row r="258" spans="1:12" s="3" customFormat="1" ht="47.25" hidden="1" x14ac:dyDescent="0.25">
      <c r="A258" s="52" t="s">
        <v>220</v>
      </c>
      <c r="B258" s="49" t="s">
        <v>233</v>
      </c>
      <c r="C258" s="49"/>
      <c r="D258" s="50">
        <f>D259</f>
        <v>1600</v>
      </c>
      <c r="E258" s="50"/>
      <c r="F258" s="66">
        <f t="shared" ref="F258:L258" si="142">F259</f>
        <v>0</v>
      </c>
      <c r="G258" s="66">
        <f t="shared" si="142"/>
        <v>0</v>
      </c>
      <c r="H258" s="66">
        <f t="shared" si="142"/>
        <v>0</v>
      </c>
      <c r="I258" s="66">
        <f t="shared" si="142"/>
        <v>0</v>
      </c>
      <c r="J258" s="66">
        <f t="shared" si="142"/>
        <v>0</v>
      </c>
      <c r="K258" s="66">
        <f t="shared" si="142"/>
        <v>0</v>
      </c>
      <c r="L258" s="66">
        <f t="shared" si="142"/>
        <v>0</v>
      </c>
    </row>
    <row r="259" spans="1:12" s="3" customFormat="1" ht="15.75" hidden="1" x14ac:dyDescent="0.25">
      <c r="A259" s="32" t="s">
        <v>217</v>
      </c>
      <c r="B259" s="14" t="s">
        <v>233</v>
      </c>
      <c r="C259" s="14" t="s">
        <v>50</v>
      </c>
      <c r="D259" s="13">
        <v>1600</v>
      </c>
      <c r="E259" s="13"/>
      <c r="F259" s="67">
        <f>D259+E259-1600</f>
        <v>0</v>
      </c>
      <c r="G259" s="67"/>
      <c r="H259" s="67"/>
      <c r="I259" s="67"/>
      <c r="J259" s="67"/>
      <c r="K259" s="67"/>
      <c r="L259" s="67"/>
    </row>
    <row r="260" spans="1:12" s="3" customFormat="1" ht="47.25" x14ac:dyDescent="0.25">
      <c r="A260" s="52" t="s">
        <v>352</v>
      </c>
      <c r="B260" s="49" t="s">
        <v>234</v>
      </c>
      <c r="C260" s="49"/>
      <c r="D260" s="50">
        <f>D261</f>
        <v>15000</v>
      </c>
      <c r="E260" s="50"/>
      <c r="F260" s="66">
        <f t="shared" ref="F260:L260" si="143">F261</f>
        <v>10000</v>
      </c>
      <c r="G260" s="66">
        <f t="shared" si="143"/>
        <v>0</v>
      </c>
      <c r="H260" s="66">
        <f t="shared" si="143"/>
        <v>0</v>
      </c>
      <c r="I260" s="66">
        <f t="shared" si="143"/>
        <v>0</v>
      </c>
      <c r="J260" s="66">
        <f t="shared" si="143"/>
        <v>30000</v>
      </c>
      <c r="K260" s="66">
        <f t="shared" si="143"/>
        <v>25000</v>
      </c>
      <c r="L260" s="66">
        <f t="shared" si="143"/>
        <v>25000</v>
      </c>
    </row>
    <row r="261" spans="1:12" s="3" customFormat="1" ht="15.75" x14ac:dyDescent="0.25">
      <c r="A261" s="32" t="s">
        <v>217</v>
      </c>
      <c r="B261" s="14" t="s">
        <v>234</v>
      </c>
      <c r="C261" s="14" t="s">
        <v>50</v>
      </c>
      <c r="D261" s="13">
        <v>15000</v>
      </c>
      <c r="E261" s="13"/>
      <c r="F261" s="67">
        <f>D261+E261-5000</f>
        <v>10000</v>
      </c>
      <c r="G261" s="67"/>
      <c r="H261" s="67"/>
      <c r="I261" s="67"/>
      <c r="J261" s="67">
        <f>F261+H261+20000</f>
        <v>30000</v>
      </c>
      <c r="K261" s="67">
        <v>25000</v>
      </c>
      <c r="L261" s="67">
        <v>25000</v>
      </c>
    </row>
    <row r="262" spans="1:12" s="3" customFormat="1" ht="54.75" customHeight="1" x14ac:dyDescent="0.25">
      <c r="A262" s="52" t="s">
        <v>221</v>
      </c>
      <c r="B262" s="49" t="s">
        <v>235</v>
      </c>
      <c r="C262" s="49"/>
      <c r="D262" s="50">
        <f>D263</f>
        <v>100</v>
      </c>
      <c r="E262" s="50"/>
      <c r="F262" s="66">
        <f t="shared" ref="F262:L262" si="144">F263</f>
        <v>37.979999999999997</v>
      </c>
      <c r="G262" s="66">
        <f t="shared" si="144"/>
        <v>0</v>
      </c>
      <c r="H262" s="66">
        <f t="shared" si="144"/>
        <v>0</v>
      </c>
      <c r="I262" s="66">
        <f t="shared" si="144"/>
        <v>0</v>
      </c>
      <c r="J262" s="66">
        <f t="shared" si="144"/>
        <v>135.1</v>
      </c>
      <c r="K262" s="66">
        <f t="shared" si="144"/>
        <v>135.1</v>
      </c>
      <c r="L262" s="66">
        <f t="shared" si="144"/>
        <v>135.1</v>
      </c>
    </row>
    <row r="263" spans="1:12" s="3" customFormat="1" ht="15.75" x14ac:dyDescent="0.25">
      <c r="A263" s="32" t="s">
        <v>217</v>
      </c>
      <c r="B263" s="14" t="s">
        <v>235</v>
      </c>
      <c r="C263" s="14" t="s">
        <v>50</v>
      </c>
      <c r="D263" s="13">
        <v>100</v>
      </c>
      <c r="E263" s="13"/>
      <c r="F263" s="67">
        <f>D263+E263-62.02</f>
        <v>37.979999999999997</v>
      </c>
      <c r="G263" s="67"/>
      <c r="H263" s="67"/>
      <c r="I263" s="67"/>
      <c r="J263" s="67">
        <f>F263+H263+97.12</f>
        <v>135.1</v>
      </c>
      <c r="K263" s="67">
        <v>135.1</v>
      </c>
      <c r="L263" s="67">
        <v>135.1</v>
      </c>
    </row>
    <row r="264" spans="1:12" s="3" customFormat="1" ht="47.25" x14ac:dyDescent="0.25">
      <c r="A264" s="52" t="s">
        <v>236</v>
      </c>
      <c r="B264" s="49" t="s">
        <v>237</v>
      </c>
      <c r="C264" s="49"/>
      <c r="D264" s="50">
        <f>D265</f>
        <v>1405.34</v>
      </c>
      <c r="E264" s="50"/>
      <c r="F264" s="66">
        <f t="shared" ref="F264:L264" si="145">F265</f>
        <v>1405.34</v>
      </c>
      <c r="G264" s="66">
        <f t="shared" si="145"/>
        <v>0</v>
      </c>
      <c r="H264" s="66">
        <f t="shared" si="145"/>
        <v>0</v>
      </c>
      <c r="I264" s="66">
        <f t="shared" si="145"/>
        <v>0</v>
      </c>
      <c r="J264" s="66">
        <f t="shared" si="145"/>
        <v>1225.3399999999999</v>
      </c>
      <c r="K264" s="66">
        <f t="shared" si="145"/>
        <v>1346.48</v>
      </c>
      <c r="L264" s="66">
        <f t="shared" si="145"/>
        <v>1346.48</v>
      </c>
    </row>
    <row r="265" spans="1:12" s="3" customFormat="1" ht="15.75" x14ac:dyDescent="0.25">
      <c r="A265" s="32" t="s">
        <v>217</v>
      </c>
      <c r="B265" s="14" t="s">
        <v>237</v>
      </c>
      <c r="C265" s="14" t="s">
        <v>50</v>
      </c>
      <c r="D265" s="13">
        <v>1405.34</v>
      </c>
      <c r="E265" s="13"/>
      <c r="F265" s="67">
        <f>D265+E265</f>
        <v>1405.34</v>
      </c>
      <c r="G265" s="67"/>
      <c r="H265" s="67"/>
      <c r="I265" s="67"/>
      <c r="J265" s="67">
        <f>F265+H265-180</f>
        <v>1225.3399999999999</v>
      </c>
      <c r="K265" s="67">
        <v>1346.48</v>
      </c>
      <c r="L265" s="67">
        <v>1346.48</v>
      </c>
    </row>
    <row r="266" spans="1:12" s="3" customFormat="1" ht="31.5" x14ac:dyDescent="0.25">
      <c r="A266" s="52" t="s">
        <v>222</v>
      </c>
      <c r="B266" s="49" t="s">
        <v>238</v>
      </c>
      <c r="C266" s="49"/>
      <c r="D266" s="50">
        <f>D267</f>
        <v>774.29</v>
      </c>
      <c r="E266" s="50"/>
      <c r="F266" s="66">
        <f t="shared" ref="F266:L266" si="146">F267</f>
        <v>774.29</v>
      </c>
      <c r="G266" s="66">
        <f t="shared" si="146"/>
        <v>0</v>
      </c>
      <c r="H266" s="66">
        <f t="shared" si="146"/>
        <v>0</v>
      </c>
      <c r="I266" s="66">
        <f t="shared" si="146"/>
        <v>0</v>
      </c>
      <c r="J266" s="66">
        <f t="shared" si="146"/>
        <v>980.28</v>
      </c>
      <c r="K266" s="66">
        <f t="shared" si="146"/>
        <v>980.28</v>
      </c>
      <c r="L266" s="66">
        <f t="shared" si="146"/>
        <v>980.28</v>
      </c>
    </row>
    <row r="267" spans="1:12" s="3" customFormat="1" ht="15.75" x14ac:dyDescent="0.25">
      <c r="A267" s="32" t="s">
        <v>217</v>
      </c>
      <c r="B267" s="14" t="s">
        <v>238</v>
      </c>
      <c r="C267" s="14" t="s">
        <v>50</v>
      </c>
      <c r="D267" s="13">
        <v>774.29</v>
      </c>
      <c r="E267" s="13"/>
      <c r="F267" s="67">
        <f>D267+E267</f>
        <v>774.29</v>
      </c>
      <c r="G267" s="67"/>
      <c r="H267" s="67"/>
      <c r="I267" s="67"/>
      <c r="J267" s="67">
        <f>F267+H267+205.99</f>
        <v>980.28</v>
      </c>
      <c r="K267" s="67">
        <v>980.28</v>
      </c>
      <c r="L267" s="67">
        <v>980.28</v>
      </c>
    </row>
    <row r="268" spans="1:12" s="3" customFormat="1" ht="31.5" x14ac:dyDescent="0.25">
      <c r="A268" s="52" t="s">
        <v>279</v>
      </c>
      <c r="B268" s="49" t="s">
        <v>280</v>
      </c>
      <c r="C268" s="49"/>
      <c r="D268" s="50">
        <f>D269</f>
        <v>7505</v>
      </c>
      <c r="E268" s="50"/>
      <c r="F268" s="66">
        <f t="shared" ref="F268:L268" si="147">F269</f>
        <v>0</v>
      </c>
      <c r="G268" s="66">
        <f t="shared" si="147"/>
        <v>0</v>
      </c>
      <c r="H268" s="66">
        <f t="shared" si="147"/>
        <v>40</v>
      </c>
      <c r="I268" s="66">
        <f t="shared" si="147"/>
        <v>0</v>
      </c>
      <c r="J268" s="66">
        <f t="shared" si="147"/>
        <v>40</v>
      </c>
      <c r="K268" s="66">
        <f t="shared" si="147"/>
        <v>40</v>
      </c>
      <c r="L268" s="66">
        <f t="shared" si="147"/>
        <v>40</v>
      </c>
    </row>
    <row r="269" spans="1:12" s="3" customFormat="1" ht="15.75" x14ac:dyDescent="0.25">
      <c r="A269" s="32" t="s">
        <v>217</v>
      </c>
      <c r="B269" s="14" t="s">
        <v>280</v>
      </c>
      <c r="C269" s="14" t="s">
        <v>50</v>
      </c>
      <c r="D269" s="13">
        <v>7505</v>
      </c>
      <c r="E269" s="13"/>
      <c r="F269" s="67"/>
      <c r="G269" s="67"/>
      <c r="H269" s="67">
        <v>40</v>
      </c>
      <c r="I269" s="67"/>
      <c r="J269" s="67">
        <f>H269</f>
        <v>40</v>
      </c>
      <c r="K269" s="67">
        <v>40</v>
      </c>
      <c r="L269" s="67">
        <v>40</v>
      </c>
    </row>
    <row r="270" spans="1:12" s="3" customFormat="1" ht="47.25" x14ac:dyDescent="0.25">
      <c r="A270" s="52" t="s">
        <v>353</v>
      </c>
      <c r="B270" s="49" t="s">
        <v>239</v>
      </c>
      <c r="C270" s="49"/>
      <c r="D270" s="50">
        <f>D271</f>
        <v>7505</v>
      </c>
      <c r="E270" s="50"/>
      <c r="F270" s="66">
        <f t="shared" ref="F270:L270" si="148">F271</f>
        <v>7505</v>
      </c>
      <c r="G270" s="66">
        <f t="shared" si="148"/>
        <v>0</v>
      </c>
      <c r="H270" s="66">
        <f t="shared" si="148"/>
        <v>0</v>
      </c>
      <c r="I270" s="66">
        <f t="shared" si="148"/>
        <v>0</v>
      </c>
      <c r="J270" s="66">
        <f t="shared" si="148"/>
        <v>0</v>
      </c>
      <c r="K270" s="66">
        <f t="shared" si="148"/>
        <v>731.2</v>
      </c>
      <c r="L270" s="66">
        <f t="shared" si="148"/>
        <v>731.2</v>
      </c>
    </row>
    <row r="271" spans="1:12" s="3" customFormat="1" ht="15.75" x14ac:dyDescent="0.25">
      <c r="A271" s="32" t="s">
        <v>217</v>
      </c>
      <c r="B271" s="14" t="s">
        <v>239</v>
      </c>
      <c r="C271" s="14" t="s">
        <v>50</v>
      </c>
      <c r="D271" s="13">
        <v>7505</v>
      </c>
      <c r="E271" s="13"/>
      <c r="F271" s="67">
        <f>D271+E271</f>
        <v>7505</v>
      </c>
      <c r="G271" s="67"/>
      <c r="H271" s="67"/>
      <c r="I271" s="67"/>
      <c r="J271" s="67">
        <f>F271+H271-7505</f>
        <v>0</v>
      </c>
      <c r="K271" s="67">
        <v>731.2</v>
      </c>
      <c r="L271" s="67">
        <v>731.2</v>
      </c>
    </row>
    <row r="272" spans="1:12" s="3" customFormat="1" ht="31.5" x14ac:dyDescent="0.25">
      <c r="A272" s="52" t="s">
        <v>223</v>
      </c>
      <c r="B272" s="49" t="s">
        <v>240</v>
      </c>
      <c r="C272" s="49"/>
      <c r="D272" s="50">
        <f>D273</f>
        <v>6150</v>
      </c>
      <c r="E272" s="50"/>
      <c r="F272" s="66">
        <f t="shared" ref="F272:L274" si="149">F273</f>
        <v>5250</v>
      </c>
      <c r="G272" s="66">
        <f t="shared" si="149"/>
        <v>0</v>
      </c>
      <c r="H272" s="66">
        <f t="shared" si="149"/>
        <v>0</v>
      </c>
      <c r="I272" s="66">
        <f t="shared" si="149"/>
        <v>0</v>
      </c>
      <c r="J272" s="66">
        <f t="shared" si="149"/>
        <v>10710</v>
      </c>
      <c r="K272" s="66">
        <f t="shared" si="149"/>
        <v>10710</v>
      </c>
      <c r="L272" s="66">
        <f t="shared" si="149"/>
        <v>10710</v>
      </c>
    </row>
    <row r="273" spans="1:12" s="3" customFormat="1" ht="15.75" x14ac:dyDescent="0.25">
      <c r="A273" s="32" t="s">
        <v>217</v>
      </c>
      <c r="B273" s="14" t="s">
        <v>240</v>
      </c>
      <c r="C273" s="14" t="s">
        <v>50</v>
      </c>
      <c r="D273" s="13">
        <v>6150</v>
      </c>
      <c r="E273" s="13"/>
      <c r="F273" s="67">
        <f>D273+E273-900</f>
        <v>5250</v>
      </c>
      <c r="G273" s="67"/>
      <c r="H273" s="67"/>
      <c r="I273" s="67"/>
      <c r="J273" s="67">
        <f>F273+H273+5460</f>
        <v>10710</v>
      </c>
      <c r="K273" s="67">
        <v>10710</v>
      </c>
      <c r="L273" s="67">
        <v>10710</v>
      </c>
    </row>
    <row r="274" spans="1:12" s="3" customFormat="1" ht="78.75" x14ac:dyDescent="0.25">
      <c r="A274" s="52" t="s">
        <v>354</v>
      </c>
      <c r="B274" s="49" t="s">
        <v>329</v>
      </c>
      <c r="C274" s="49"/>
      <c r="D274" s="50">
        <f>D275</f>
        <v>6150</v>
      </c>
      <c r="E274" s="50"/>
      <c r="F274" s="66">
        <f t="shared" si="149"/>
        <v>5250</v>
      </c>
      <c r="G274" s="66">
        <f t="shared" si="149"/>
        <v>0</v>
      </c>
      <c r="H274" s="66">
        <f t="shared" si="149"/>
        <v>0</v>
      </c>
      <c r="I274" s="66">
        <f t="shared" si="149"/>
        <v>0</v>
      </c>
      <c r="J274" s="66">
        <f t="shared" si="149"/>
        <v>10710</v>
      </c>
      <c r="K274" s="66">
        <f t="shared" si="149"/>
        <v>880.9</v>
      </c>
      <c r="L274" s="66">
        <f t="shared" si="149"/>
        <v>0</v>
      </c>
    </row>
    <row r="275" spans="1:12" s="3" customFormat="1" ht="15.75" x14ac:dyDescent="0.25">
      <c r="A275" s="32" t="s">
        <v>217</v>
      </c>
      <c r="B275" s="14" t="s">
        <v>329</v>
      </c>
      <c r="C275" s="14" t="s">
        <v>50</v>
      </c>
      <c r="D275" s="13">
        <v>6150</v>
      </c>
      <c r="E275" s="13"/>
      <c r="F275" s="67">
        <f>D275+E275-900</f>
        <v>5250</v>
      </c>
      <c r="G275" s="67"/>
      <c r="H275" s="67"/>
      <c r="I275" s="67"/>
      <c r="J275" s="67">
        <f>F275+H275+5460</f>
        <v>10710</v>
      </c>
      <c r="K275" s="67">
        <v>880.9</v>
      </c>
      <c r="L275" s="67"/>
    </row>
    <row r="276" spans="1:12" s="3" customFormat="1" ht="63" x14ac:dyDescent="0.25">
      <c r="A276" s="52" t="s">
        <v>355</v>
      </c>
      <c r="B276" s="49" t="s">
        <v>241</v>
      </c>
      <c r="C276" s="49"/>
      <c r="D276" s="50">
        <f>D277</f>
        <v>20</v>
      </c>
      <c r="E276" s="50"/>
      <c r="F276" s="66">
        <f t="shared" ref="F276:L276" si="150">F277</f>
        <v>20</v>
      </c>
      <c r="G276" s="66">
        <f t="shared" si="150"/>
        <v>0</v>
      </c>
      <c r="H276" s="66">
        <f t="shared" si="150"/>
        <v>0</v>
      </c>
      <c r="I276" s="66">
        <f t="shared" si="150"/>
        <v>0</v>
      </c>
      <c r="J276" s="66">
        <f t="shared" si="150"/>
        <v>20</v>
      </c>
      <c r="K276" s="66">
        <f t="shared" si="150"/>
        <v>21.64</v>
      </c>
      <c r="L276" s="66">
        <f t="shared" si="150"/>
        <v>2.63</v>
      </c>
    </row>
    <row r="277" spans="1:12" s="3" customFormat="1" ht="16.5" customHeight="1" x14ac:dyDescent="0.25">
      <c r="A277" s="32" t="s">
        <v>217</v>
      </c>
      <c r="B277" s="14" t="s">
        <v>241</v>
      </c>
      <c r="C277" s="14" t="s">
        <v>50</v>
      </c>
      <c r="D277" s="13">
        <v>20</v>
      </c>
      <c r="E277" s="13"/>
      <c r="F277" s="67">
        <f>D277+E277</f>
        <v>20</v>
      </c>
      <c r="G277" s="67"/>
      <c r="H277" s="67"/>
      <c r="I277" s="67"/>
      <c r="J277" s="67">
        <f>F277+H277</f>
        <v>20</v>
      </c>
      <c r="K277" s="67">
        <v>21.64</v>
      </c>
      <c r="L277" s="67">
        <v>2.63</v>
      </c>
    </row>
    <row r="278" spans="1:12" s="3" customFormat="1" ht="15.75" hidden="1" x14ac:dyDescent="0.25">
      <c r="A278" s="52" t="s">
        <v>224</v>
      </c>
      <c r="B278" s="49" t="s">
        <v>242</v>
      </c>
      <c r="C278" s="49"/>
      <c r="D278" s="50">
        <f>D279</f>
        <v>1821.5</v>
      </c>
      <c r="E278" s="50"/>
      <c r="F278" s="66">
        <f t="shared" ref="F278:L278" si="151">F279</f>
        <v>2644.77</v>
      </c>
      <c r="G278" s="66">
        <f t="shared" si="151"/>
        <v>0</v>
      </c>
      <c r="H278" s="66">
        <f t="shared" si="151"/>
        <v>-2644.77</v>
      </c>
      <c r="I278" s="66">
        <f t="shared" si="151"/>
        <v>0</v>
      </c>
      <c r="J278" s="66">
        <f t="shared" si="151"/>
        <v>0</v>
      </c>
      <c r="K278" s="66">
        <f t="shared" si="151"/>
        <v>0</v>
      </c>
      <c r="L278" s="66">
        <f t="shared" si="151"/>
        <v>0</v>
      </c>
    </row>
    <row r="279" spans="1:12" s="3" customFormat="1" ht="0.75" hidden="1" customHeight="1" x14ac:dyDescent="0.25">
      <c r="A279" s="32" t="s">
        <v>217</v>
      </c>
      <c r="B279" s="14" t="s">
        <v>242</v>
      </c>
      <c r="C279" s="14" t="s">
        <v>50</v>
      </c>
      <c r="D279" s="13">
        <v>1821.5</v>
      </c>
      <c r="E279" s="13"/>
      <c r="F279" s="67">
        <f>D279+E279+823.27</f>
        <v>2644.77</v>
      </c>
      <c r="G279" s="67"/>
      <c r="H279" s="67">
        <v>-2644.77</v>
      </c>
      <c r="I279" s="67"/>
      <c r="J279" s="67">
        <f>F279+H279</f>
        <v>0</v>
      </c>
      <c r="K279" s="67"/>
      <c r="L279" s="67"/>
    </row>
    <row r="280" spans="1:12" s="3" customFormat="1" ht="47.25" x14ac:dyDescent="0.25">
      <c r="A280" s="52" t="s">
        <v>225</v>
      </c>
      <c r="B280" s="49" t="s">
        <v>243</v>
      </c>
      <c r="C280" s="49"/>
      <c r="D280" s="50">
        <f>D281</f>
        <v>20000</v>
      </c>
      <c r="E280" s="50"/>
      <c r="F280" s="66">
        <f t="shared" ref="F280:L280" si="152">F281</f>
        <v>20000</v>
      </c>
      <c r="G280" s="66">
        <f t="shared" si="152"/>
        <v>0</v>
      </c>
      <c r="H280" s="66">
        <f t="shared" si="152"/>
        <v>-5752.82</v>
      </c>
      <c r="I280" s="66">
        <f t="shared" si="152"/>
        <v>0</v>
      </c>
      <c r="J280" s="66">
        <f t="shared" si="152"/>
        <v>14247.18</v>
      </c>
      <c r="K280" s="66">
        <f t="shared" si="152"/>
        <v>14247.18</v>
      </c>
      <c r="L280" s="66">
        <f t="shared" si="152"/>
        <v>14247.18</v>
      </c>
    </row>
    <row r="281" spans="1:12" s="3" customFormat="1" ht="15.75" x14ac:dyDescent="0.25">
      <c r="A281" s="32" t="s">
        <v>217</v>
      </c>
      <c r="B281" s="14" t="s">
        <v>243</v>
      </c>
      <c r="C281" s="14" t="s">
        <v>50</v>
      </c>
      <c r="D281" s="13">
        <v>20000</v>
      </c>
      <c r="E281" s="13"/>
      <c r="F281" s="67">
        <v>20000</v>
      </c>
      <c r="G281" s="67"/>
      <c r="H281" s="67">
        <v>-5752.82</v>
      </c>
      <c r="I281" s="67"/>
      <c r="J281" s="67">
        <f>F281+H281</f>
        <v>14247.18</v>
      </c>
      <c r="K281" s="67">
        <v>14247.18</v>
      </c>
      <c r="L281" s="67">
        <v>14247.18</v>
      </c>
    </row>
    <row r="282" spans="1:12" s="3" customFormat="1" ht="47.25" x14ac:dyDescent="0.25">
      <c r="A282" s="52" t="s">
        <v>226</v>
      </c>
      <c r="B282" s="49" t="s">
        <v>244</v>
      </c>
      <c r="C282" s="49"/>
      <c r="D282" s="50">
        <f>D283</f>
        <v>23209.46</v>
      </c>
      <c r="E282" s="50"/>
      <c r="F282" s="66">
        <f t="shared" ref="F282:L282" si="153">F283</f>
        <v>193185.94</v>
      </c>
      <c r="G282" s="66">
        <f t="shared" si="153"/>
        <v>0</v>
      </c>
      <c r="H282" s="66">
        <f t="shared" si="153"/>
        <v>5357.57</v>
      </c>
      <c r="I282" s="66">
        <f t="shared" si="153"/>
        <v>0</v>
      </c>
      <c r="J282" s="66">
        <f t="shared" si="153"/>
        <v>44565.290000000008</v>
      </c>
      <c r="K282" s="66">
        <f t="shared" si="153"/>
        <v>44565.29</v>
      </c>
      <c r="L282" s="66">
        <f t="shared" si="153"/>
        <v>44565.29</v>
      </c>
    </row>
    <row r="283" spans="1:12" s="3" customFormat="1" ht="15.75" x14ac:dyDescent="0.25">
      <c r="A283" s="32" t="s">
        <v>217</v>
      </c>
      <c r="B283" s="14" t="s">
        <v>244</v>
      </c>
      <c r="C283" s="14" t="s">
        <v>50</v>
      </c>
      <c r="D283" s="13">
        <v>23209.46</v>
      </c>
      <c r="E283" s="13"/>
      <c r="F283" s="67">
        <f>D283+E283+169976.48</f>
        <v>193185.94</v>
      </c>
      <c r="G283" s="67"/>
      <c r="H283" s="67">
        <v>5357.57</v>
      </c>
      <c r="I283" s="67"/>
      <c r="J283" s="67">
        <f>F283+H283-153978.22</f>
        <v>44565.290000000008</v>
      </c>
      <c r="K283" s="67">
        <v>44565.29</v>
      </c>
      <c r="L283" s="67">
        <v>44565.29</v>
      </c>
    </row>
    <row r="284" spans="1:12" s="3" customFormat="1" ht="47.25" x14ac:dyDescent="0.25">
      <c r="A284" s="52" t="s">
        <v>356</v>
      </c>
      <c r="B284" s="49" t="s">
        <v>303</v>
      </c>
      <c r="C284" s="49"/>
      <c r="D284" s="50"/>
      <c r="E284" s="50"/>
      <c r="F284" s="66"/>
      <c r="G284" s="66"/>
      <c r="H284" s="66"/>
      <c r="I284" s="66"/>
      <c r="J284" s="66">
        <f>J285</f>
        <v>397.5</v>
      </c>
      <c r="K284" s="66">
        <f>K285</f>
        <v>397.5</v>
      </c>
      <c r="L284" s="66">
        <f>L285</f>
        <v>397.5</v>
      </c>
    </row>
    <row r="285" spans="1:12" s="3" customFormat="1" ht="15.75" x14ac:dyDescent="0.25">
      <c r="A285" s="32" t="s">
        <v>217</v>
      </c>
      <c r="B285" s="14" t="s">
        <v>303</v>
      </c>
      <c r="C285" s="14" t="s">
        <v>50</v>
      </c>
      <c r="D285" s="13"/>
      <c r="E285" s="13"/>
      <c r="F285" s="67"/>
      <c r="G285" s="67"/>
      <c r="H285" s="67"/>
      <c r="I285" s="67"/>
      <c r="J285" s="67">
        <v>397.5</v>
      </c>
      <c r="K285" s="67">
        <v>397.5</v>
      </c>
      <c r="L285" s="67">
        <v>397.5</v>
      </c>
    </row>
    <row r="286" spans="1:12" s="3" customFormat="1" ht="47.25" x14ac:dyDescent="0.25">
      <c r="A286" s="52" t="s">
        <v>357</v>
      </c>
      <c r="B286" s="49" t="s">
        <v>304</v>
      </c>
      <c r="C286" s="49"/>
      <c r="D286" s="50"/>
      <c r="E286" s="50"/>
      <c r="F286" s="66"/>
      <c r="G286" s="66"/>
      <c r="H286" s="66"/>
      <c r="I286" s="66"/>
      <c r="J286" s="66">
        <f>J287</f>
        <v>5772.16</v>
      </c>
      <c r="K286" s="66">
        <f>K287</f>
        <v>9025.31</v>
      </c>
      <c r="L286" s="66">
        <f>L287</f>
        <v>9025.31</v>
      </c>
    </row>
    <row r="287" spans="1:12" s="3" customFormat="1" ht="15.75" x14ac:dyDescent="0.25">
      <c r="A287" s="32" t="s">
        <v>217</v>
      </c>
      <c r="B287" s="14" t="s">
        <v>304</v>
      </c>
      <c r="C287" s="14" t="s">
        <v>50</v>
      </c>
      <c r="D287" s="13"/>
      <c r="E287" s="13"/>
      <c r="F287" s="67"/>
      <c r="G287" s="67"/>
      <c r="H287" s="67"/>
      <c r="I287" s="67"/>
      <c r="J287" s="67">
        <v>5772.16</v>
      </c>
      <c r="K287" s="67">
        <v>9025.31</v>
      </c>
      <c r="L287" s="67">
        <v>9025.31</v>
      </c>
    </row>
    <row r="288" spans="1:12" s="3" customFormat="1" ht="31.5" x14ac:dyDescent="0.25">
      <c r="A288" s="52" t="s">
        <v>358</v>
      </c>
      <c r="B288" s="49" t="s">
        <v>305</v>
      </c>
      <c r="C288" s="49"/>
      <c r="D288" s="50"/>
      <c r="E288" s="50"/>
      <c r="F288" s="66"/>
      <c r="G288" s="66"/>
      <c r="H288" s="66"/>
      <c r="I288" s="66"/>
      <c r="J288" s="66">
        <f>J289</f>
        <v>850</v>
      </c>
      <c r="K288" s="66">
        <f>K289</f>
        <v>8015.65</v>
      </c>
      <c r="L288" s="66">
        <f>L289</f>
        <v>8015.65</v>
      </c>
    </row>
    <row r="289" spans="1:14" s="3" customFormat="1" ht="15.75" x14ac:dyDescent="0.25">
      <c r="A289" s="32" t="s">
        <v>217</v>
      </c>
      <c r="B289" s="14" t="s">
        <v>305</v>
      </c>
      <c r="C289" s="14" t="s">
        <v>50</v>
      </c>
      <c r="D289" s="13"/>
      <c r="E289" s="13"/>
      <c r="F289" s="67"/>
      <c r="G289" s="67"/>
      <c r="H289" s="67"/>
      <c r="I289" s="67"/>
      <c r="J289" s="67">
        <v>850</v>
      </c>
      <c r="K289" s="67">
        <v>8015.65</v>
      </c>
      <c r="L289" s="67">
        <v>8015.65</v>
      </c>
    </row>
    <row r="290" spans="1:14" s="3" customFormat="1" ht="47.25" x14ac:dyDescent="0.25">
      <c r="A290" s="52" t="s">
        <v>306</v>
      </c>
      <c r="B290" s="49" t="s">
        <v>307</v>
      </c>
      <c r="C290" s="49"/>
      <c r="D290" s="50"/>
      <c r="E290" s="50"/>
      <c r="F290" s="66"/>
      <c r="G290" s="66"/>
      <c r="H290" s="66"/>
      <c r="I290" s="66"/>
      <c r="J290" s="66">
        <f>J291</f>
        <v>51360.81</v>
      </c>
      <c r="K290" s="66">
        <f>K291</f>
        <v>44229.43</v>
      </c>
      <c r="L290" s="66">
        <f>L291</f>
        <v>44229.43</v>
      </c>
    </row>
    <row r="291" spans="1:14" s="3" customFormat="1" ht="15.75" x14ac:dyDescent="0.25">
      <c r="A291" s="32" t="s">
        <v>217</v>
      </c>
      <c r="B291" s="14" t="s">
        <v>307</v>
      </c>
      <c r="C291" s="14" t="s">
        <v>50</v>
      </c>
      <c r="D291" s="13"/>
      <c r="E291" s="13"/>
      <c r="F291" s="67"/>
      <c r="G291" s="67"/>
      <c r="H291" s="67"/>
      <c r="I291" s="67"/>
      <c r="J291" s="67">
        <v>51360.81</v>
      </c>
      <c r="K291" s="67">
        <v>44229.43</v>
      </c>
      <c r="L291" s="67">
        <v>44229.43</v>
      </c>
    </row>
    <row r="292" spans="1:14" s="3" customFormat="1" ht="31.5" x14ac:dyDescent="0.25">
      <c r="A292" s="52" t="s">
        <v>227</v>
      </c>
      <c r="B292" s="49" t="s">
        <v>245</v>
      </c>
      <c r="C292" s="49"/>
      <c r="D292" s="50"/>
      <c r="E292" s="50">
        <f t="shared" ref="E292:L292" si="154">E293</f>
        <v>100</v>
      </c>
      <c r="F292" s="66">
        <f t="shared" si="154"/>
        <v>100</v>
      </c>
      <c r="G292" s="66">
        <f t="shared" si="154"/>
        <v>0</v>
      </c>
      <c r="H292" s="66">
        <f t="shared" si="154"/>
        <v>0</v>
      </c>
      <c r="I292" s="66">
        <f t="shared" si="154"/>
        <v>0</v>
      </c>
      <c r="J292" s="66">
        <f t="shared" si="154"/>
        <v>100</v>
      </c>
      <c r="K292" s="66">
        <f t="shared" si="154"/>
        <v>100</v>
      </c>
      <c r="L292" s="66">
        <f t="shared" si="154"/>
        <v>92.5</v>
      </c>
    </row>
    <row r="293" spans="1:14" s="3" customFormat="1" ht="31.5" x14ac:dyDescent="0.25">
      <c r="A293" s="32" t="s">
        <v>33</v>
      </c>
      <c r="B293" s="14" t="s">
        <v>245</v>
      </c>
      <c r="C293" s="14" t="s">
        <v>50</v>
      </c>
      <c r="D293" s="13"/>
      <c r="E293" s="13">
        <v>100</v>
      </c>
      <c r="F293" s="67">
        <f>D293+E293</f>
        <v>100</v>
      </c>
      <c r="G293" s="67"/>
      <c r="H293" s="67"/>
      <c r="I293" s="67"/>
      <c r="J293" s="67">
        <f>F293+I293</f>
        <v>100</v>
      </c>
      <c r="K293" s="67">
        <v>100</v>
      </c>
      <c r="L293" s="67">
        <v>92.5</v>
      </c>
    </row>
    <row r="294" spans="1:14" s="3" customFormat="1" ht="31.5" x14ac:dyDescent="0.25">
      <c r="A294" s="52" t="s">
        <v>359</v>
      </c>
      <c r="B294" s="49" t="s">
        <v>184</v>
      </c>
      <c r="C294" s="49"/>
      <c r="D294" s="50">
        <f t="shared" ref="D294:L294" si="155">D295</f>
        <v>200</v>
      </c>
      <c r="E294" s="50">
        <f t="shared" si="155"/>
        <v>160</v>
      </c>
      <c r="F294" s="66">
        <f t="shared" si="155"/>
        <v>360</v>
      </c>
      <c r="G294" s="66">
        <f t="shared" si="155"/>
        <v>0</v>
      </c>
      <c r="H294" s="66">
        <f t="shared" si="155"/>
        <v>0</v>
      </c>
      <c r="I294" s="66">
        <f t="shared" si="155"/>
        <v>-50</v>
      </c>
      <c r="J294" s="66">
        <f t="shared" si="155"/>
        <v>310</v>
      </c>
      <c r="K294" s="66">
        <f t="shared" si="155"/>
        <v>360</v>
      </c>
      <c r="L294" s="66">
        <f t="shared" si="155"/>
        <v>360</v>
      </c>
    </row>
    <row r="295" spans="1:14" s="3" customFormat="1" ht="31.5" x14ac:dyDescent="0.25">
      <c r="A295" s="32" t="s">
        <v>33</v>
      </c>
      <c r="B295" s="14" t="s">
        <v>184</v>
      </c>
      <c r="C295" s="14" t="s">
        <v>34</v>
      </c>
      <c r="D295" s="13">
        <v>200</v>
      </c>
      <c r="E295" s="13">
        <v>160</v>
      </c>
      <c r="F295" s="67">
        <f>D295+E295</f>
        <v>360</v>
      </c>
      <c r="G295" s="67"/>
      <c r="H295" s="67"/>
      <c r="I295" s="67">
        <v>-50</v>
      </c>
      <c r="J295" s="67">
        <f>F295+I295</f>
        <v>310</v>
      </c>
      <c r="K295" s="67">
        <v>360</v>
      </c>
      <c r="L295" s="67">
        <v>360</v>
      </c>
    </row>
    <row r="296" spans="1:14" ht="15.75" x14ac:dyDescent="0.25">
      <c r="A296" s="35" t="s">
        <v>87</v>
      </c>
      <c r="B296" s="29" t="s">
        <v>88</v>
      </c>
      <c r="C296" s="29"/>
      <c r="D296" s="30">
        <f t="shared" ref="D296:L296" si="156">D297</f>
        <v>1694.71</v>
      </c>
      <c r="E296" s="30">
        <f t="shared" si="156"/>
        <v>0</v>
      </c>
      <c r="F296" s="65">
        <f t="shared" si="156"/>
        <v>1564.56</v>
      </c>
      <c r="G296" s="65">
        <f t="shared" si="156"/>
        <v>0</v>
      </c>
      <c r="H296" s="65">
        <f t="shared" si="156"/>
        <v>0</v>
      </c>
      <c r="I296" s="65">
        <f t="shared" si="156"/>
        <v>0</v>
      </c>
      <c r="J296" s="65">
        <f t="shared" si="156"/>
        <v>1527.6299999999999</v>
      </c>
      <c r="K296" s="65">
        <f t="shared" si="156"/>
        <v>1431.1299999999999</v>
      </c>
      <c r="L296" s="65">
        <f t="shared" si="156"/>
        <v>1431.1299999999999</v>
      </c>
    </row>
    <row r="297" spans="1:14" ht="31.5" x14ac:dyDescent="0.25">
      <c r="A297" s="21" t="s">
        <v>360</v>
      </c>
      <c r="B297" s="33" t="s">
        <v>88</v>
      </c>
      <c r="C297" s="33"/>
      <c r="D297" s="34">
        <f t="shared" ref="D297:J297" si="157">D300+D298</f>
        <v>1694.71</v>
      </c>
      <c r="E297" s="34">
        <f t="shared" si="157"/>
        <v>0</v>
      </c>
      <c r="F297" s="68">
        <f t="shared" si="157"/>
        <v>1564.56</v>
      </c>
      <c r="G297" s="68">
        <f t="shared" si="157"/>
        <v>0</v>
      </c>
      <c r="H297" s="68">
        <f t="shared" si="157"/>
        <v>0</v>
      </c>
      <c r="I297" s="68">
        <f t="shared" si="157"/>
        <v>0</v>
      </c>
      <c r="J297" s="68">
        <f t="shared" si="157"/>
        <v>1527.6299999999999</v>
      </c>
      <c r="K297" s="68">
        <f t="shared" ref="K297:L297" si="158">K300+K298</f>
        <v>1431.1299999999999</v>
      </c>
      <c r="L297" s="68">
        <f t="shared" si="158"/>
        <v>1431.1299999999999</v>
      </c>
    </row>
    <row r="298" spans="1:14" ht="94.5" x14ac:dyDescent="0.25">
      <c r="A298" s="45" t="s">
        <v>330</v>
      </c>
      <c r="B298" s="49" t="s">
        <v>287</v>
      </c>
      <c r="C298" s="49"/>
      <c r="D298" s="50">
        <f t="shared" ref="D298:L298" si="159">D299</f>
        <v>1526.65</v>
      </c>
      <c r="E298" s="50">
        <f t="shared" si="159"/>
        <v>0</v>
      </c>
      <c r="F298" s="66">
        <f t="shared" si="159"/>
        <v>1396.5</v>
      </c>
      <c r="G298" s="66">
        <f t="shared" si="159"/>
        <v>0</v>
      </c>
      <c r="H298" s="66">
        <f t="shared" si="159"/>
        <v>0</v>
      </c>
      <c r="I298" s="66">
        <f t="shared" si="159"/>
        <v>0</v>
      </c>
      <c r="J298" s="66">
        <f t="shared" si="159"/>
        <v>1359.57</v>
      </c>
      <c r="K298" s="66">
        <f t="shared" si="159"/>
        <v>1359.57</v>
      </c>
      <c r="L298" s="66">
        <f t="shared" si="159"/>
        <v>1359.57</v>
      </c>
    </row>
    <row r="299" spans="1:14" ht="31.5" x14ac:dyDescent="0.25">
      <c r="A299" s="12" t="s">
        <v>65</v>
      </c>
      <c r="B299" s="14" t="s">
        <v>287</v>
      </c>
      <c r="C299" s="14" t="s">
        <v>67</v>
      </c>
      <c r="D299" s="13">
        <v>1526.65</v>
      </c>
      <c r="E299" s="13"/>
      <c r="F299" s="67">
        <f>D299+E299-130.15</f>
        <v>1396.5</v>
      </c>
      <c r="G299" s="67"/>
      <c r="H299" s="67"/>
      <c r="I299" s="67"/>
      <c r="J299" s="67">
        <f>F299+H299-36.93</f>
        <v>1359.57</v>
      </c>
      <c r="K299" s="67">
        <v>1359.57</v>
      </c>
      <c r="L299" s="67">
        <v>1359.57</v>
      </c>
      <c r="M299" s="88"/>
      <c r="N299" s="88"/>
    </row>
    <row r="300" spans="1:14" ht="31.7" customHeight="1" x14ac:dyDescent="0.25">
      <c r="A300" s="44" t="s">
        <v>286</v>
      </c>
      <c r="B300" s="49" t="s">
        <v>287</v>
      </c>
      <c r="C300" s="49"/>
      <c r="D300" s="50">
        <f t="shared" ref="D300:L300" si="160">D301</f>
        <v>168.06</v>
      </c>
      <c r="E300" s="50">
        <f t="shared" si="160"/>
        <v>0</v>
      </c>
      <c r="F300" s="66">
        <f t="shared" si="160"/>
        <v>168.06</v>
      </c>
      <c r="G300" s="66">
        <f t="shared" si="160"/>
        <v>0</v>
      </c>
      <c r="H300" s="66">
        <f t="shared" si="160"/>
        <v>0</v>
      </c>
      <c r="I300" s="66">
        <f t="shared" si="160"/>
        <v>0</v>
      </c>
      <c r="J300" s="66">
        <f t="shared" si="160"/>
        <v>168.06</v>
      </c>
      <c r="K300" s="66">
        <f t="shared" si="160"/>
        <v>71.56</v>
      </c>
      <c r="L300" s="66">
        <f t="shared" si="160"/>
        <v>71.56</v>
      </c>
    </row>
    <row r="301" spans="1:14" s="3" customFormat="1" ht="15.75" x14ac:dyDescent="0.25">
      <c r="A301" s="12" t="s">
        <v>217</v>
      </c>
      <c r="B301" s="14" t="s">
        <v>287</v>
      </c>
      <c r="C301" s="14" t="s">
        <v>50</v>
      </c>
      <c r="D301" s="13">
        <v>168.06</v>
      </c>
      <c r="E301" s="13"/>
      <c r="F301" s="67">
        <f>D301+E299</f>
        <v>168.06</v>
      </c>
      <c r="G301" s="67"/>
      <c r="H301" s="67"/>
      <c r="I301" s="67"/>
      <c r="J301" s="67">
        <f>F301+I301</f>
        <v>168.06</v>
      </c>
      <c r="K301" s="67">
        <v>71.56</v>
      </c>
      <c r="L301" s="67">
        <v>71.56</v>
      </c>
    </row>
    <row r="302" spans="1:14" ht="31.5" x14ac:dyDescent="0.25">
      <c r="A302" s="5" t="s">
        <v>289</v>
      </c>
      <c r="B302" s="7" t="s">
        <v>81</v>
      </c>
      <c r="C302" s="7"/>
      <c r="D302" s="6">
        <f t="shared" ref="D302:J302" si="161">D309+D314+D318+D303+D306</f>
        <v>14634.800000000001</v>
      </c>
      <c r="E302" s="6">
        <f t="shared" si="161"/>
        <v>0</v>
      </c>
      <c r="F302" s="15">
        <f t="shared" si="161"/>
        <v>14634.800000000001</v>
      </c>
      <c r="G302" s="15">
        <f t="shared" si="161"/>
        <v>0</v>
      </c>
      <c r="H302" s="15">
        <f t="shared" si="161"/>
        <v>0</v>
      </c>
      <c r="I302" s="15">
        <f t="shared" si="161"/>
        <v>505.8</v>
      </c>
      <c r="J302" s="15">
        <f t="shared" si="161"/>
        <v>15390.6</v>
      </c>
      <c r="K302" s="15">
        <f t="shared" ref="K302:L302" si="162">K309+K314+K318+K303+K306</f>
        <v>15390.6</v>
      </c>
      <c r="L302" s="15">
        <f t="shared" si="162"/>
        <v>15344.59</v>
      </c>
    </row>
    <row r="303" spans="1:14" ht="47.25" x14ac:dyDescent="0.25">
      <c r="A303" s="21" t="s">
        <v>176</v>
      </c>
      <c r="B303" s="22" t="s">
        <v>195</v>
      </c>
      <c r="C303" s="22"/>
      <c r="D303" s="23">
        <f t="shared" ref="D303:L304" si="163">D304</f>
        <v>1674.5</v>
      </c>
      <c r="E303" s="23">
        <f t="shared" si="163"/>
        <v>0</v>
      </c>
      <c r="F303" s="28">
        <f t="shared" si="163"/>
        <v>1674.5</v>
      </c>
      <c r="G303" s="28">
        <f t="shared" si="163"/>
        <v>0</v>
      </c>
      <c r="H303" s="28">
        <f t="shared" si="163"/>
        <v>0</v>
      </c>
      <c r="I303" s="28">
        <f t="shared" si="163"/>
        <v>0</v>
      </c>
      <c r="J303" s="28">
        <f t="shared" si="163"/>
        <v>1674.5</v>
      </c>
      <c r="K303" s="28">
        <f t="shared" si="163"/>
        <v>1640</v>
      </c>
      <c r="L303" s="28">
        <f t="shared" si="163"/>
        <v>1639.1</v>
      </c>
    </row>
    <row r="304" spans="1:14" ht="15.75" x14ac:dyDescent="0.25">
      <c r="A304" s="10" t="s">
        <v>13</v>
      </c>
      <c r="B304" s="11" t="s">
        <v>195</v>
      </c>
      <c r="C304" s="11"/>
      <c r="D304" s="4">
        <f t="shared" si="163"/>
        <v>1674.5</v>
      </c>
      <c r="E304" s="4"/>
      <c r="F304" s="16">
        <f>F305</f>
        <v>1674.5</v>
      </c>
      <c r="G304" s="16">
        <f t="shared" si="163"/>
        <v>0</v>
      </c>
      <c r="H304" s="16">
        <f t="shared" si="163"/>
        <v>0</v>
      </c>
      <c r="I304" s="16">
        <f t="shared" si="163"/>
        <v>0</v>
      </c>
      <c r="J304" s="16">
        <f t="shared" si="163"/>
        <v>1674.5</v>
      </c>
      <c r="K304" s="16">
        <f t="shared" si="163"/>
        <v>1640</v>
      </c>
      <c r="L304" s="16">
        <f t="shared" si="163"/>
        <v>1639.1</v>
      </c>
    </row>
    <row r="305" spans="1:12" ht="78.75" x14ac:dyDescent="0.25">
      <c r="A305" s="10" t="s">
        <v>31</v>
      </c>
      <c r="B305" s="11" t="s">
        <v>195</v>
      </c>
      <c r="C305" s="11" t="s">
        <v>32</v>
      </c>
      <c r="D305" s="4">
        <v>1674.5</v>
      </c>
      <c r="E305" s="4"/>
      <c r="F305" s="16">
        <f>D305+E305</f>
        <v>1674.5</v>
      </c>
      <c r="G305" s="16"/>
      <c r="H305" s="16"/>
      <c r="I305" s="16"/>
      <c r="J305" s="16">
        <f>F305+I305</f>
        <v>1674.5</v>
      </c>
      <c r="K305" s="16">
        <v>1640</v>
      </c>
      <c r="L305" s="16">
        <v>1639.1</v>
      </c>
    </row>
    <row r="306" spans="1:12" ht="51" customHeight="1" x14ac:dyDescent="0.25">
      <c r="A306" s="44" t="s">
        <v>19</v>
      </c>
      <c r="B306" s="37" t="s">
        <v>82</v>
      </c>
      <c r="C306" s="37"/>
      <c r="D306" s="36">
        <f t="shared" ref="D306:J306" si="164">D307+D308</f>
        <v>811.9</v>
      </c>
      <c r="E306" s="36">
        <f t="shared" si="164"/>
        <v>0</v>
      </c>
      <c r="F306" s="46">
        <f t="shared" si="164"/>
        <v>811.9</v>
      </c>
      <c r="G306" s="46">
        <f t="shared" si="164"/>
        <v>0</v>
      </c>
      <c r="H306" s="46">
        <f t="shared" si="164"/>
        <v>0</v>
      </c>
      <c r="I306" s="46">
        <f t="shared" si="164"/>
        <v>0</v>
      </c>
      <c r="J306" s="46">
        <f t="shared" si="164"/>
        <v>811.9</v>
      </c>
      <c r="K306" s="46">
        <f>K307+K308</f>
        <v>811.9</v>
      </c>
      <c r="L306" s="46">
        <f>L307+L308</f>
        <v>811.9</v>
      </c>
    </row>
    <row r="307" spans="1:12" ht="82.5" customHeight="1" x14ac:dyDescent="0.25">
      <c r="A307" s="10" t="s">
        <v>31</v>
      </c>
      <c r="B307" s="11" t="s">
        <v>82</v>
      </c>
      <c r="C307" s="11" t="s">
        <v>32</v>
      </c>
      <c r="D307" s="4">
        <v>790</v>
      </c>
      <c r="E307" s="4"/>
      <c r="F307" s="16">
        <f>D307+E307</f>
        <v>790</v>
      </c>
      <c r="G307" s="16"/>
      <c r="H307" s="16"/>
      <c r="I307" s="16"/>
      <c r="J307" s="16">
        <f>F307</f>
        <v>790</v>
      </c>
      <c r="K307" s="16">
        <v>790</v>
      </c>
      <c r="L307" s="16">
        <v>790</v>
      </c>
    </row>
    <row r="308" spans="1:12" ht="33.75" customHeight="1" x14ac:dyDescent="0.25">
      <c r="A308" s="10" t="s">
        <v>33</v>
      </c>
      <c r="B308" s="11" t="s">
        <v>82</v>
      </c>
      <c r="C308" s="11" t="s">
        <v>34</v>
      </c>
      <c r="D308" s="4">
        <v>21.9</v>
      </c>
      <c r="E308" s="4"/>
      <c r="F308" s="16">
        <f>D308+E308</f>
        <v>21.9</v>
      </c>
      <c r="G308" s="16"/>
      <c r="H308" s="16"/>
      <c r="I308" s="16"/>
      <c r="J308" s="16">
        <f>F308</f>
        <v>21.9</v>
      </c>
      <c r="K308" s="16">
        <v>21.9</v>
      </c>
      <c r="L308" s="16">
        <v>21.9</v>
      </c>
    </row>
    <row r="309" spans="1:12" ht="33.75" customHeight="1" x14ac:dyDescent="0.25">
      <c r="A309" s="21" t="s">
        <v>97</v>
      </c>
      <c r="B309" s="22" t="s">
        <v>101</v>
      </c>
      <c r="C309" s="22"/>
      <c r="D309" s="23">
        <f t="shared" ref="D309:L309" si="165">D310</f>
        <v>7720.4000000000005</v>
      </c>
      <c r="E309" s="23">
        <f t="shared" si="165"/>
        <v>0</v>
      </c>
      <c r="F309" s="28">
        <f t="shared" si="165"/>
        <v>7720.4000000000005</v>
      </c>
      <c r="G309" s="28">
        <f t="shared" si="165"/>
        <v>0</v>
      </c>
      <c r="H309" s="28">
        <f t="shared" si="165"/>
        <v>0</v>
      </c>
      <c r="I309" s="28">
        <f t="shared" si="165"/>
        <v>0</v>
      </c>
      <c r="J309" s="28">
        <f t="shared" si="165"/>
        <v>7720.4000000000005</v>
      </c>
      <c r="K309" s="28">
        <f t="shared" si="165"/>
        <v>7864.9</v>
      </c>
      <c r="L309" s="28">
        <f t="shared" si="165"/>
        <v>7823.54</v>
      </c>
    </row>
    <row r="310" spans="1:12" ht="36" customHeight="1" x14ac:dyDescent="0.25">
      <c r="A310" s="44" t="s">
        <v>2</v>
      </c>
      <c r="B310" s="37" t="s">
        <v>101</v>
      </c>
      <c r="C310" s="37"/>
      <c r="D310" s="36">
        <f t="shared" ref="D310:J310" si="166">D311+D312+D313</f>
        <v>7720.4000000000005</v>
      </c>
      <c r="E310" s="36">
        <f t="shared" si="166"/>
        <v>0</v>
      </c>
      <c r="F310" s="46">
        <f t="shared" si="166"/>
        <v>7720.4000000000005</v>
      </c>
      <c r="G310" s="46">
        <f t="shared" si="166"/>
        <v>0</v>
      </c>
      <c r="H310" s="46">
        <f t="shared" si="166"/>
        <v>0</v>
      </c>
      <c r="I310" s="46">
        <f t="shared" si="166"/>
        <v>0</v>
      </c>
      <c r="J310" s="46">
        <f t="shared" si="166"/>
        <v>7720.4000000000005</v>
      </c>
      <c r="K310" s="46">
        <f t="shared" ref="K310:L310" si="167">K311+K312+K313</f>
        <v>7864.9</v>
      </c>
      <c r="L310" s="46">
        <f t="shared" si="167"/>
        <v>7823.54</v>
      </c>
    </row>
    <row r="311" spans="1:12" ht="76.5" customHeight="1" x14ac:dyDescent="0.25">
      <c r="A311" s="10" t="s">
        <v>31</v>
      </c>
      <c r="B311" s="11" t="s">
        <v>101</v>
      </c>
      <c r="C311" s="11" t="s">
        <v>32</v>
      </c>
      <c r="D311" s="4">
        <v>6688.39</v>
      </c>
      <c r="E311" s="4"/>
      <c r="F311" s="16">
        <f>D311+E311</f>
        <v>6688.39</v>
      </c>
      <c r="G311" s="16"/>
      <c r="H311" s="16"/>
      <c r="I311" s="16"/>
      <c r="J311" s="16">
        <f>F311+I311</f>
        <v>6688.39</v>
      </c>
      <c r="K311" s="16">
        <v>6636.29</v>
      </c>
      <c r="L311" s="16">
        <v>6597.52</v>
      </c>
    </row>
    <row r="312" spans="1:12" ht="33.75" customHeight="1" x14ac:dyDescent="0.25">
      <c r="A312" s="10" t="s">
        <v>33</v>
      </c>
      <c r="B312" s="11" t="s">
        <v>101</v>
      </c>
      <c r="C312" s="11" t="s">
        <v>34</v>
      </c>
      <c r="D312" s="4">
        <v>1027.01</v>
      </c>
      <c r="E312" s="4"/>
      <c r="F312" s="16">
        <f>D312+E312</f>
        <v>1027.01</v>
      </c>
      <c r="G312" s="16"/>
      <c r="H312" s="16"/>
      <c r="I312" s="16"/>
      <c r="J312" s="16">
        <f t="shared" ref="J312:J313" si="168">F312+I312</f>
        <v>1027.01</v>
      </c>
      <c r="K312" s="16">
        <v>1227.1099999999999</v>
      </c>
      <c r="L312" s="16">
        <v>1225.29</v>
      </c>
    </row>
    <row r="313" spans="1:12" ht="23.85" customHeight="1" x14ac:dyDescent="0.25">
      <c r="A313" s="10" t="s">
        <v>217</v>
      </c>
      <c r="B313" s="11" t="s">
        <v>101</v>
      </c>
      <c r="C313" s="11" t="s">
        <v>50</v>
      </c>
      <c r="D313" s="4">
        <v>5</v>
      </c>
      <c r="E313" s="4"/>
      <c r="F313" s="16">
        <f>D313+E313</f>
        <v>5</v>
      </c>
      <c r="G313" s="16"/>
      <c r="H313" s="16"/>
      <c r="I313" s="16"/>
      <c r="J313" s="16">
        <f t="shared" si="168"/>
        <v>5</v>
      </c>
      <c r="K313" s="16">
        <v>1.5</v>
      </c>
      <c r="L313" s="16">
        <v>0.73</v>
      </c>
    </row>
    <row r="314" spans="1:12" ht="31.5" x14ac:dyDescent="0.25">
      <c r="A314" s="21" t="s">
        <v>102</v>
      </c>
      <c r="B314" s="22" t="s">
        <v>103</v>
      </c>
      <c r="C314" s="22"/>
      <c r="D314" s="23">
        <f t="shared" ref="D314:L314" si="169">D315</f>
        <v>1612.2</v>
      </c>
      <c r="E314" s="23">
        <f t="shared" si="169"/>
        <v>0</v>
      </c>
      <c r="F314" s="28">
        <f t="shared" si="169"/>
        <v>1612.2</v>
      </c>
      <c r="G314" s="28">
        <f t="shared" si="169"/>
        <v>0</v>
      </c>
      <c r="H314" s="28">
        <f t="shared" si="169"/>
        <v>0</v>
      </c>
      <c r="I314" s="28">
        <f t="shared" si="169"/>
        <v>0</v>
      </c>
      <c r="J314" s="28">
        <f t="shared" si="169"/>
        <v>1612.2</v>
      </c>
      <c r="K314" s="28">
        <f t="shared" si="169"/>
        <v>1502.2</v>
      </c>
      <c r="L314" s="28">
        <f t="shared" si="169"/>
        <v>1498.45</v>
      </c>
    </row>
    <row r="315" spans="1:12" ht="15.75" x14ac:dyDescent="0.25">
      <c r="A315" s="44" t="s">
        <v>20</v>
      </c>
      <c r="B315" s="37" t="s">
        <v>103</v>
      </c>
      <c r="C315" s="37"/>
      <c r="D315" s="36">
        <f t="shared" ref="D315:J315" si="170">D316+D317</f>
        <v>1612.2</v>
      </c>
      <c r="E315" s="36">
        <f t="shared" si="170"/>
        <v>0</v>
      </c>
      <c r="F315" s="46">
        <f t="shared" si="170"/>
        <v>1612.2</v>
      </c>
      <c r="G315" s="46">
        <f t="shared" si="170"/>
        <v>0</v>
      </c>
      <c r="H315" s="46">
        <f t="shared" si="170"/>
        <v>0</v>
      </c>
      <c r="I315" s="46">
        <f t="shared" si="170"/>
        <v>0</v>
      </c>
      <c r="J315" s="46">
        <f t="shared" si="170"/>
        <v>1612.2</v>
      </c>
      <c r="K315" s="46">
        <f t="shared" ref="K315:L315" si="171">K316+K317</f>
        <v>1502.2</v>
      </c>
      <c r="L315" s="46">
        <f t="shared" si="171"/>
        <v>1498.45</v>
      </c>
    </row>
    <row r="316" spans="1:12" ht="78" customHeight="1" x14ac:dyDescent="0.25">
      <c r="A316" s="10" t="s">
        <v>31</v>
      </c>
      <c r="B316" s="11" t="s">
        <v>103</v>
      </c>
      <c r="C316" s="11" t="s">
        <v>32</v>
      </c>
      <c r="D316" s="4">
        <v>1372.2</v>
      </c>
      <c r="E316" s="4"/>
      <c r="F316" s="16">
        <f>D316+E316</f>
        <v>1372.2</v>
      </c>
      <c r="G316" s="16"/>
      <c r="H316" s="16"/>
      <c r="I316" s="16">
        <v>240</v>
      </c>
      <c r="J316" s="16">
        <f>F316+I316</f>
        <v>1612.2</v>
      </c>
      <c r="K316" s="16">
        <v>1502.2</v>
      </c>
      <c r="L316" s="16">
        <v>1498.45</v>
      </c>
    </row>
    <row r="317" spans="1:12" ht="31.5" hidden="1" x14ac:dyDescent="0.25">
      <c r="A317" s="10" t="s">
        <v>33</v>
      </c>
      <c r="B317" s="11" t="s">
        <v>103</v>
      </c>
      <c r="C317" s="11" t="s">
        <v>34</v>
      </c>
      <c r="D317" s="4">
        <v>240</v>
      </c>
      <c r="E317" s="4"/>
      <c r="F317" s="16">
        <f>D317+E317</f>
        <v>240</v>
      </c>
      <c r="G317" s="16"/>
      <c r="H317" s="16"/>
      <c r="I317" s="16">
        <v>-240</v>
      </c>
      <c r="J317" s="16">
        <f>F317+I317</f>
        <v>0</v>
      </c>
      <c r="K317" s="16"/>
      <c r="L317" s="16"/>
    </row>
    <row r="318" spans="1:12" ht="47.25" x14ac:dyDescent="0.25">
      <c r="A318" s="21" t="s">
        <v>156</v>
      </c>
      <c r="B318" s="22" t="s">
        <v>370</v>
      </c>
      <c r="C318" s="22"/>
      <c r="D318" s="23">
        <f t="shared" ref="D318:J318" si="172">D319+D321</f>
        <v>2815.8</v>
      </c>
      <c r="E318" s="23">
        <f t="shared" si="172"/>
        <v>0</v>
      </c>
      <c r="F318" s="28">
        <f t="shared" si="172"/>
        <v>2815.8</v>
      </c>
      <c r="G318" s="28">
        <f t="shared" si="172"/>
        <v>0</v>
      </c>
      <c r="H318" s="28">
        <f t="shared" si="172"/>
        <v>0</v>
      </c>
      <c r="I318" s="28">
        <f t="shared" si="172"/>
        <v>505.8</v>
      </c>
      <c r="J318" s="28">
        <f t="shared" si="172"/>
        <v>3571.6000000000004</v>
      </c>
      <c r="K318" s="28">
        <f t="shared" ref="K318:L318" si="173">K319+K321</f>
        <v>3571.6000000000004</v>
      </c>
      <c r="L318" s="28">
        <f t="shared" si="173"/>
        <v>3571.6000000000004</v>
      </c>
    </row>
    <row r="319" spans="1:12" ht="28.5" customHeight="1" x14ac:dyDescent="0.25">
      <c r="A319" s="44" t="s">
        <v>173</v>
      </c>
      <c r="B319" s="37" t="s">
        <v>174</v>
      </c>
      <c r="C319" s="37"/>
      <c r="D319" s="36">
        <f t="shared" ref="D319:L319" si="174">D320</f>
        <v>215.8</v>
      </c>
      <c r="E319" s="36">
        <f t="shared" si="174"/>
        <v>0</v>
      </c>
      <c r="F319" s="46">
        <f t="shared" si="174"/>
        <v>215.8</v>
      </c>
      <c r="G319" s="46">
        <f t="shared" si="174"/>
        <v>0</v>
      </c>
      <c r="H319" s="46">
        <f t="shared" si="174"/>
        <v>0</v>
      </c>
      <c r="I319" s="46">
        <f t="shared" si="174"/>
        <v>0</v>
      </c>
      <c r="J319" s="46">
        <f t="shared" si="174"/>
        <v>215.8</v>
      </c>
      <c r="K319" s="46">
        <f t="shared" si="174"/>
        <v>215.8</v>
      </c>
      <c r="L319" s="46">
        <f t="shared" si="174"/>
        <v>215.8</v>
      </c>
    </row>
    <row r="320" spans="1:12" ht="47.25" x14ac:dyDescent="0.25">
      <c r="A320" s="10" t="s">
        <v>337</v>
      </c>
      <c r="B320" s="11" t="s">
        <v>174</v>
      </c>
      <c r="C320" s="11" t="s">
        <v>27</v>
      </c>
      <c r="D320" s="4">
        <v>215.8</v>
      </c>
      <c r="E320" s="4"/>
      <c r="F320" s="16">
        <f>D320+E320</f>
        <v>215.8</v>
      </c>
      <c r="G320" s="16"/>
      <c r="H320" s="16"/>
      <c r="I320" s="16"/>
      <c r="J320" s="16">
        <f>F320+H320</f>
        <v>215.8</v>
      </c>
      <c r="K320" s="16">
        <v>215.8</v>
      </c>
      <c r="L320" s="16">
        <v>215.8</v>
      </c>
    </row>
    <row r="321" spans="1:12" ht="63" x14ac:dyDescent="0.25">
      <c r="A321" s="44" t="s">
        <v>361</v>
      </c>
      <c r="B321" s="37" t="s">
        <v>157</v>
      </c>
      <c r="C321" s="37"/>
      <c r="D321" s="36">
        <f t="shared" ref="D321:L321" si="175">D322</f>
        <v>2600</v>
      </c>
      <c r="E321" s="36">
        <f t="shared" si="175"/>
        <v>0</v>
      </c>
      <c r="F321" s="46">
        <f t="shared" si="175"/>
        <v>2600</v>
      </c>
      <c r="G321" s="46">
        <f t="shared" si="175"/>
        <v>0</v>
      </c>
      <c r="H321" s="46">
        <f t="shared" si="175"/>
        <v>0</v>
      </c>
      <c r="I321" s="46">
        <f t="shared" si="175"/>
        <v>505.8</v>
      </c>
      <c r="J321" s="46">
        <f t="shared" si="175"/>
        <v>3355.8</v>
      </c>
      <c r="K321" s="46">
        <f t="shared" si="175"/>
        <v>3355.8</v>
      </c>
      <c r="L321" s="46">
        <f t="shared" si="175"/>
        <v>3355.8</v>
      </c>
    </row>
    <row r="322" spans="1:12" ht="47.25" x14ac:dyDescent="0.25">
      <c r="A322" s="10" t="s">
        <v>337</v>
      </c>
      <c r="B322" s="11" t="s">
        <v>157</v>
      </c>
      <c r="C322" s="11" t="s">
        <v>27</v>
      </c>
      <c r="D322" s="4">
        <v>2600</v>
      </c>
      <c r="E322" s="4"/>
      <c r="F322" s="16">
        <f>D322+E322</f>
        <v>2600</v>
      </c>
      <c r="G322" s="16"/>
      <c r="H322" s="16"/>
      <c r="I322" s="16">
        <v>505.8</v>
      </c>
      <c r="J322" s="16">
        <f>F322+I322+250</f>
        <v>3355.8</v>
      </c>
      <c r="K322" s="16">
        <v>3355.8</v>
      </c>
      <c r="L322" s="16">
        <v>3355.8</v>
      </c>
    </row>
    <row r="323" spans="1:12" ht="31.5" x14ac:dyDescent="0.25">
      <c r="A323" s="5" t="s">
        <v>288</v>
      </c>
      <c r="B323" s="7" t="s">
        <v>96</v>
      </c>
      <c r="C323" s="7"/>
      <c r="D323" s="6">
        <f t="shared" ref="D323:J323" si="176">D324+D330</f>
        <v>10339</v>
      </c>
      <c r="E323" s="6">
        <f t="shared" si="176"/>
        <v>0</v>
      </c>
      <c r="F323" s="15">
        <f t="shared" si="176"/>
        <v>10339</v>
      </c>
      <c r="G323" s="15">
        <f t="shared" si="176"/>
        <v>0</v>
      </c>
      <c r="H323" s="15">
        <f t="shared" si="176"/>
        <v>0</v>
      </c>
      <c r="I323" s="15">
        <f t="shared" si="176"/>
        <v>0</v>
      </c>
      <c r="J323" s="15">
        <f t="shared" si="176"/>
        <v>10339</v>
      </c>
      <c r="K323" s="15">
        <f t="shared" ref="K323:L323" si="177">K324+K330</f>
        <v>10339.000000000002</v>
      </c>
      <c r="L323" s="15">
        <f t="shared" si="177"/>
        <v>10041.44</v>
      </c>
    </row>
    <row r="324" spans="1:12" ht="47.25" x14ac:dyDescent="0.25">
      <c r="A324" s="21" t="s">
        <v>97</v>
      </c>
      <c r="B324" s="22" t="s">
        <v>99</v>
      </c>
      <c r="C324" s="22"/>
      <c r="D324" s="23">
        <f t="shared" ref="D324:L324" si="178">D325</f>
        <v>9819</v>
      </c>
      <c r="E324" s="23">
        <f t="shared" si="178"/>
        <v>0</v>
      </c>
      <c r="F324" s="28">
        <f t="shared" si="178"/>
        <v>9819</v>
      </c>
      <c r="G324" s="28">
        <f t="shared" si="178"/>
        <v>0</v>
      </c>
      <c r="H324" s="28">
        <f t="shared" si="178"/>
        <v>0</v>
      </c>
      <c r="I324" s="28">
        <f t="shared" si="178"/>
        <v>-31.999999999999993</v>
      </c>
      <c r="J324" s="28">
        <f t="shared" si="178"/>
        <v>9787</v>
      </c>
      <c r="K324" s="28">
        <f t="shared" si="178"/>
        <v>9787.0000000000018</v>
      </c>
      <c r="L324" s="28">
        <f t="shared" si="178"/>
        <v>9489.44</v>
      </c>
    </row>
    <row r="325" spans="1:12" ht="31.5" x14ac:dyDescent="0.25">
      <c r="A325" s="10" t="s">
        <v>2</v>
      </c>
      <c r="B325" s="11" t="s">
        <v>99</v>
      </c>
      <c r="C325" s="11"/>
      <c r="D325" s="4">
        <f t="shared" ref="D325:I325" si="179">D326+D327+D329</f>
        <v>9819</v>
      </c>
      <c r="E325" s="4">
        <f t="shared" si="179"/>
        <v>0</v>
      </c>
      <c r="F325" s="16">
        <f t="shared" si="179"/>
        <v>9819</v>
      </c>
      <c r="G325" s="16">
        <f t="shared" si="179"/>
        <v>0</v>
      </c>
      <c r="H325" s="16">
        <f t="shared" si="179"/>
        <v>0</v>
      </c>
      <c r="I325" s="16">
        <f t="shared" si="179"/>
        <v>-31.999999999999993</v>
      </c>
      <c r="J325" s="16">
        <f>J326+J327+J329+J328</f>
        <v>9787</v>
      </c>
      <c r="K325" s="16">
        <f>K326+K327+K329+K328</f>
        <v>9787.0000000000018</v>
      </c>
      <c r="L325" s="16">
        <f>L326+L327+L329+L328</f>
        <v>9489.44</v>
      </c>
    </row>
    <row r="326" spans="1:12" ht="78.75" x14ac:dyDescent="0.25">
      <c r="A326" s="10" t="s">
        <v>31</v>
      </c>
      <c r="B326" s="11" t="s">
        <v>99</v>
      </c>
      <c r="C326" s="11" t="s">
        <v>32</v>
      </c>
      <c r="D326" s="4">
        <v>8821.92</v>
      </c>
      <c r="E326" s="4"/>
      <c r="F326" s="16">
        <f>D326+E326</f>
        <v>8821.92</v>
      </c>
      <c r="G326" s="16"/>
      <c r="H326" s="16"/>
      <c r="I326" s="16">
        <v>-234.6</v>
      </c>
      <c r="J326" s="16">
        <f>F326+I326</f>
        <v>8587.32</v>
      </c>
      <c r="K326" s="16">
        <v>8304.5400000000009</v>
      </c>
      <c r="L326" s="16">
        <v>8018.08</v>
      </c>
    </row>
    <row r="327" spans="1:12" ht="31.5" x14ac:dyDescent="0.25">
      <c r="A327" s="10" t="s">
        <v>33</v>
      </c>
      <c r="B327" s="11" t="s">
        <v>99</v>
      </c>
      <c r="C327" s="11" t="s">
        <v>34</v>
      </c>
      <c r="D327" s="4">
        <v>992.08</v>
      </c>
      <c r="E327" s="4"/>
      <c r="F327" s="16">
        <f>D327+E327</f>
        <v>992.08</v>
      </c>
      <c r="G327" s="16"/>
      <c r="H327" s="16"/>
      <c r="I327" s="16">
        <v>190.5</v>
      </c>
      <c r="J327" s="16">
        <f t="shared" ref="J327:J329" si="180">F327+I327</f>
        <v>1182.58</v>
      </c>
      <c r="K327" s="16">
        <v>1423.68</v>
      </c>
      <c r="L327" s="16">
        <v>1415.94</v>
      </c>
    </row>
    <row r="328" spans="1:12" ht="31.5" x14ac:dyDescent="0.25">
      <c r="A328" s="10" t="s">
        <v>65</v>
      </c>
      <c r="B328" s="11" t="s">
        <v>99</v>
      </c>
      <c r="C328" s="11" t="s">
        <v>67</v>
      </c>
      <c r="D328" s="4">
        <v>5</v>
      </c>
      <c r="E328" s="4"/>
      <c r="F328" s="16">
        <f>D328+E328</f>
        <v>5</v>
      </c>
      <c r="G328" s="16"/>
      <c r="H328" s="16"/>
      <c r="I328" s="16">
        <v>12.1</v>
      </c>
      <c r="J328" s="16">
        <v>0</v>
      </c>
      <c r="K328" s="16">
        <v>45.93</v>
      </c>
      <c r="L328" s="16">
        <v>45.93</v>
      </c>
    </row>
    <row r="329" spans="1:12" ht="15.75" x14ac:dyDescent="0.25">
      <c r="A329" s="10" t="s">
        <v>217</v>
      </c>
      <c r="B329" s="11" t="s">
        <v>99</v>
      </c>
      <c r="C329" s="11" t="s">
        <v>50</v>
      </c>
      <c r="D329" s="4">
        <v>5</v>
      </c>
      <c r="E329" s="4"/>
      <c r="F329" s="16">
        <f>D329+E329</f>
        <v>5</v>
      </c>
      <c r="G329" s="16"/>
      <c r="H329" s="16"/>
      <c r="I329" s="16">
        <v>12.1</v>
      </c>
      <c r="J329" s="16">
        <f t="shared" si="180"/>
        <v>17.100000000000001</v>
      </c>
      <c r="K329" s="16">
        <v>12.85</v>
      </c>
      <c r="L329" s="16">
        <v>9.49</v>
      </c>
    </row>
    <row r="330" spans="1:12" ht="31.5" x14ac:dyDescent="0.25">
      <c r="A330" s="21" t="s">
        <v>98</v>
      </c>
      <c r="B330" s="22" t="s">
        <v>100</v>
      </c>
      <c r="C330" s="22"/>
      <c r="D330" s="23">
        <f t="shared" ref="D330:L331" si="181">D331</f>
        <v>520</v>
      </c>
      <c r="E330" s="23">
        <f t="shared" si="181"/>
        <v>0</v>
      </c>
      <c r="F330" s="28">
        <f t="shared" si="181"/>
        <v>520</v>
      </c>
      <c r="G330" s="28">
        <f t="shared" si="181"/>
        <v>0</v>
      </c>
      <c r="H330" s="28">
        <f t="shared" si="181"/>
        <v>0</v>
      </c>
      <c r="I330" s="28">
        <f t="shared" si="181"/>
        <v>32</v>
      </c>
      <c r="J330" s="28">
        <f t="shared" si="181"/>
        <v>552</v>
      </c>
      <c r="K330" s="28">
        <f t="shared" si="181"/>
        <v>552</v>
      </c>
      <c r="L330" s="28">
        <f t="shared" si="181"/>
        <v>552</v>
      </c>
    </row>
    <row r="331" spans="1:12" ht="47.25" x14ac:dyDescent="0.25">
      <c r="A331" s="44" t="s">
        <v>17</v>
      </c>
      <c r="B331" s="37" t="s">
        <v>100</v>
      </c>
      <c r="C331" s="37"/>
      <c r="D331" s="36">
        <f t="shared" si="181"/>
        <v>520</v>
      </c>
      <c r="E331" s="36">
        <f t="shared" si="181"/>
        <v>0</v>
      </c>
      <c r="F331" s="46">
        <f t="shared" si="181"/>
        <v>520</v>
      </c>
      <c r="G331" s="46">
        <f t="shared" si="181"/>
        <v>0</v>
      </c>
      <c r="H331" s="46">
        <f t="shared" si="181"/>
        <v>0</v>
      </c>
      <c r="I331" s="46">
        <f t="shared" si="181"/>
        <v>32</v>
      </c>
      <c r="J331" s="46">
        <f t="shared" si="181"/>
        <v>552</v>
      </c>
      <c r="K331" s="46">
        <f t="shared" si="181"/>
        <v>552</v>
      </c>
      <c r="L331" s="46">
        <f t="shared" si="181"/>
        <v>552</v>
      </c>
    </row>
    <row r="332" spans="1:12" ht="31.5" x14ac:dyDescent="0.25">
      <c r="A332" s="10" t="s">
        <v>33</v>
      </c>
      <c r="B332" s="11" t="s">
        <v>100</v>
      </c>
      <c r="C332" s="11" t="s">
        <v>34</v>
      </c>
      <c r="D332" s="4">
        <v>520</v>
      </c>
      <c r="E332" s="4"/>
      <c r="F332" s="16">
        <f>D332+E332</f>
        <v>520</v>
      </c>
      <c r="G332" s="16"/>
      <c r="H332" s="16"/>
      <c r="I332" s="16">
        <v>32</v>
      </c>
      <c r="J332" s="16">
        <f>F332+I332</f>
        <v>552</v>
      </c>
      <c r="K332" s="16">
        <v>552</v>
      </c>
      <c r="L332" s="16">
        <v>552</v>
      </c>
    </row>
    <row r="333" spans="1:12" ht="15.75" x14ac:dyDescent="0.25">
      <c r="A333" s="5" t="s">
        <v>104</v>
      </c>
      <c r="B333" s="7" t="s">
        <v>105</v>
      </c>
      <c r="C333" s="7"/>
      <c r="D333" s="6">
        <f t="shared" ref="D333:J333" si="182">D334+D338</f>
        <v>4409.3</v>
      </c>
      <c r="E333" s="6">
        <f t="shared" si="182"/>
        <v>0</v>
      </c>
      <c r="F333" s="15">
        <f t="shared" si="182"/>
        <v>4409.3</v>
      </c>
      <c r="G333" s="15">
        <f t="shared" si="182"/>
        <v>0</v>
      </c>
      <c r="H333" s="15">
        <f t="shared" si="182"/>
        <v>0</v>
      </c>
      <c r="I333" s="15">
        <f t="shared" si="182"/>
        <v>105.46000000000001</v>
      </c>
      <c r="J333" s="15">
        <f t="shared" si="182"/>
        <v>4514.76</v>
      </c>
      <c r="K333" s="15">
        <f t="shared" ref="K333:L333" si="183">K334+K338</f>
        <v>5679.84</v>
      </c>
      <c r="L333" s="15">
        <f t="shared" si="183"/>
        <v>5674.35</v>
      </c>
    </row>
    <row r="334" spans="1:12" ht="47.25" x14ac:dyDescent="0.25">
      <c r="A334" s="21" t="s">
        <v>362</v>
      </c>
      <c r="B334" s="22" t="s">
        <v>106</v>
      </c>
      <c r="C334" s="22"/>
      <c r="D334" s="23">
        <f t="shared" ref="D334:L334" si="184">D335</f>
        <v>3909.3</v>
      </c>
      <c r="E334" s="23">
        <f t="shared" si="184"/>
        <v>0</v>
      </c>
      <c r="F334" s="28">
        <f t="shared" si="184"/>
        <v>3909.3</v>
      </c>
      <c r="G334" s="28">
        <f t="shared" si="184"/>
        <v>0</v>
      </c>
      <c r="H334" s="28">
        <f t="shared" si="184"/>
        <v>0</v>
      </c>
      <c r="I334" s="28">
        <f t="shared" si="184"/>
        <v>-38.54</v>
      </c>
      <c r="J334" s="28">
        <f t="shared" si="184"/>
        <v>3960.76</v>
      </c>
      <c r="K334" s="28">
        <f t="shared" si="184"/>
        <v>3968.96</v>
      </c>
      <c r="L334" s="28">
        <f t="shared" si="184"/>
        <v>3968.96</v>
      </c>
    </row>
    <row r="335" spans="1:12" ht="35.25" customHeight="1" x14ac:dyDescent="0.25">
      <c r="A335" s="10" t="s">
        <v>363</v>
      </c>
      <c r="B335" s="11" t="s">
        <v>106</v>
      </c>
      <c r="C335" s="11"/>
      <c r="D335" s="4">
        <f t="shared" ref="D335:J335" si="185">D336+D337</f>
        <v>3909.3</v>
      </c>
      <c r="E335" s="4">
        <f t="shared" si="185"/>
        <v>0</v>
      </c>
      <c r="F335" s="16">
        <f t="shared" si="185"/>
        <v>3909.3</v>
      </c>
      <c r="G335" s="16">
        <f t="shared" si="185"/>
        <v>0</v>
      </c>
      <c r="H335" s="16">
        <f t="shared" si="185"/>
        <v>0</v>
      </c>
      <c r="I335" s="16">
        <f t="shared" si="185"/>
        <v>-38.54</v>
      </c>
      <c r="J335" s="16">
        <f t="shared" si="185"/>
        <v>3960.76</v>
      </c>
      <c r="K335" s="16">
        <f t="shared" ref="K335:L335" si="186">K336+K337</f>
        <v>3968.96</v>
      </c>
      <c r="L335" s="16">
        <f t="shared" si="186"/>
        <v>3968.96</v>
      </c>
    </row>
    <row r="336" spans="1:12" ht="78.75" x14ac:dyDescent="0.25">
      <c r="A336" s="10" t="s">
        <v>31</v>
      </c>
      <c r="B336" s="11" t="s">
        <v>106</v>
      </c>
      <c r="C336" s="11" t="s">
        <v>32</v>
      </c>
      <c r="D336" s="4">
        <v>3859.26</v>
      </c>
      <c r="E336" s="4"/>
      <c r="F336" s="16">
        <f>D336+E336</f>
        <v>3859.26</v>
      </c>
      <c r="G336" s="16"/>
      <c r="H336" s="16"/>
      <c r="I336" s="16"/>
      <c r="J336" s="16">
        <f>F336+I336+90</f>
        <v>3949.26</v>
      </c>
      <c r="K336" s="16">
        <v>3949.26</v>
      </c>
      <c r="L336" s="16">
        <v>3949.26</v>
      </c>
    </row>
    <row r="337" spans="1:12" ht="31.5" x14ac:dyDescent="0.25">
      <c r="A337" s="10" t="s">
        <v>33</v>
      </c>
      <c r="B337" s="11" t="s">
        <v>106</v>
      </c>
      <c r="C337" s="11" t="s">
        <v>34</v>
      </c>
      <c r="D337" s="4">
        <v>50.04</v>
      </c>
      <c r="E337" s="4"/>
      <c r="F337" s="16">
        <f>D337+E337</f>
        <v>50.04</v>
      </c>
      <c r="G337" s="16"/>
      <c r="H337" s="16"/>
      <c r="I337" s="16">
        <v>-38.54</v>
      </c>
      <c r="J337" s="16">
        <f>F337+I337</f>
        <v>11.5</v>
      </c>
      <c r="K337" s="16">
        <v>19.7</v>
      </c>
      <c r="L337" s="16">
        <v>19.7</v>
      </c>
    </row>
    <row r="338" spans="1:12" ht="32.25" customHeight="1" x14ac:dyDescent="0.25">
      <c r="A338" s="21" t="s">
        <v>196</v>
      </c>
      <c r="B338" s="22" t="s">
        <v>108</v>
      </c>
      <c r="C338" s="22"/>
      <c r="D338" s="23">
        <f t="shared" ref="D338:L339" si="187">D339</f>
        <v>500</v>
      </c>
      <c r="E338" s="23">
        <f t="shared" si="187"/>
        <v>0</v>
      </c>
      <c r="F338" s="28">
        <f t="shared" si="187"/>
        <v>500</v>
      </c>
      <c r="G338" s="28">
        <f t="shared" si="187"/>
        <v>0</v>
      </c>
      <c r="H338" s="28">
        <f t="shared" si="187"/>
        <v>0</v>
      </c>
      <c r="I338" s="28">
        <f t="shared" si="187"/>
        <v>144</v>
      </c>
      <c r="J338" s="28">
        <f t="shared" si="187"/>
        <v>554</v>
      </c>
      <c r="K338" s="28">
        <f t="shared" si="187"/>
        <v>1710.88</v>
      </c>
      <c r="L338" s="28">
        <f t="shared" si="187"/>
        <v>1705.39</v>
      </c>
    </row>
    <row r="339" spans="1:12" ht="67.5" customHeight="1" x14ac:dyDescent="0.25">
      <c r="A339" s="10" t="s">
        <v>107</v>
      </c>
      <c r="B339" s="11" t="s">
        <v>108</v>
      </c>
      <c r="C339" s="11"/>
      <c r="D339" s="4">
        <f t="shared" si="187"/>
        <v>500</v>
      </c>
      <c r="E339" s="4">
        <f t="shared" si="187"/>
        <v>0</v>
      </c>
      <c r="F339" s="16">
        <f t="shared" si="187"/>
        <v>500</v>
      </c>
      <c r="G339" s="16">
        <f t="shared" si="187"/>
        <v>0</v>
      </c>
      <c r="H339" s="16">
        <f t="shared" si="187"/>
        <v>0</v>
      </c>
      <c r="I339" s="16">
        <f t="shared" si="187"/>
        <v>144</v>
      </c>
      <c r="J339" s="16">
        <f t="shared" si="187"/>
        <v>554</v>
      </c>
      <c r="K339" s="16">
        <f t="shared" si="187"/>
        <v>1710.88</v>
      </c>
      <c r="L339" s="16">
        <f t="shared" si="187"/>
        <v>1705.39</v>
      </c>
    </row>
    <row r="340" spans="1:12" ht="31.5" x14ac:dyDescent="0.25">
      <c r="A340" s="10" t="s">
        <v>33</v>
      </c>
      <c r="B340" s="11" t="s">
        <v>108</v>
      </c>
      <c r="C340" s="11" t="s">
        <v>34</v>
      </c>
      <c r="D340" s="4">
        <v>500</v>
      </c>
      <c r="E340" s="4"/>
      <c r="F340" s="16">
        <f>D340+E340</f>
        <v>500</v>
      </c>
      <c r="G340" s="16"/>
      <c r="H340" s="16"/>
      <c r="I340" s="16">
        <f>65-65+144</f>
        <v>144</v>
      </c>
      <c r="J340" s="16">
        <f>F340+I340-90</f>
        <v>554</v>
      </c>
      <c r="K340" s="16">
        <v>1710.88</v>
      </c>
      <c r="L340" s="16">
        <v>1705.39</v>
      </c>
    </row>
    <row r="341" spans="1:12" ht="31.5" x14ac:dyDescent="0.25">
      <c r="A341" s="5" t="s">
        <v>148</v>
      </c>
      <c r="B341" s="7" t="s">
        <v>149</v>
      </c>
      <c r="C341" s="7"/>
      <c r="D341" s="6">
        <f t="shared" ref="D341:J341" si="188">D342+D345+D348+D353+D356+D351</f>
        <v>4643.7</v>
      </c>
      <c r="E341" s="6">
        <f t="shared" si="188"/>
        <v>1160</v>
      </c>
      <c r="F341" s="15">
        <f t="shared" si="188"/>
        <v>5803.7</v>
      </c>
      <c r="G341" s="15">
        <f t="shared" si="188"/>
        <v>1000</v>
      </c>
      <c r="H341" s="15">
        <f t="shared" si="188"/>
        <v>0</v>
      </c>
      <c r="I341" s="15">
        <f t="shared" si="188"/>
        <v>-99.93</v>
      </c>
      <c r="J341" s="15">
        <f t="shared" si="188"/>
        <v>6433.0199999999995</v>
      </c>
      <c r="K341" s="15">
        <f t="shared" ref="K341:L341" si="189">K342+K345+K348+K353+K356+K351</f>
        <v>6464.7899999999991</v>
      </c>
      <c r="L341" s="15">
        <f t="shared" si="189"/>
        <v>3743.4700000000003</v>
      </c>
    </row>
    <row r="342" spans="1:12" ht="41.25" customHeight="1" x14ac:dyDescent="0.25">
      <c r="A342" s="21" t="s">
        <v>331</v>
      </c>
      <c r="B342" s="22" t="s">
        <v>150</v>
      </c>
      <c r="C342" s="22"/>
      <c r="D342" s="23">
        <f t="shared" ref="D342:L343" si="190">D343</f>
        <v>50</v>
      </c>
      <c r="E342" s="23">
        <f t="shared" si="190"/>
        <v>600</v>
      </c>
      <c r="F342" s="28">
        <f t="shared" si="190"/>
        <v>650</v>
      </c>
      <c r="G342" s="28">
        <f t="shared" si="190"/>
        <v>0</v>
      </c>
      <c r="H342" s="28">
        <f t="shared" si="190"/>
        <v>0</v>
      </c>
      <c r="I342" s="28">
        <f t="shared" si="190"/>
        <v>-99.93</v>
      </c>
      <c r="J342" s="28">
        <f t="shared" si="190"/>
        <v>550.06999999999994</v>
      </c>
      <c r="K342" s="28">
        <f t="shared" si="190"/>
        <v>550.07000000000005</v>
      </c>
      <c r="L342" s="28">
        <f t="shared" si="190"/>
        <v>130.16</v>
      </c>
    </row>
    <row r="343" spans="1:12" ht="47.25" x14ac:dyDescent="0.25">
      <c r="A343" s="44" t="s">
        <v>181</v>
      </c>
      <c r="B343" s="37" t="s">
        <v>150</v>
      </c>
      <c r="C343" s="37"/>
      <c r="D343" s="36">
        <f t="shared" si="190"/>
        <v>50</v>
      </c>
      <c r="E343" s="36">
        <f t="shared" si="190"/>
        <v>600</v>
      </c>
      <c r="F343" s="46">
        <f t="shared" si="190"/>
        <v>650</v>
      </c>
      <c r="G343" s="46">
        <f t="shared" si="190"/>
        <v>0</v>
      </c>
      <c r="H343" s="46">
        <f t="shared" si="190"/>
        <v>0</v>
      </c>
      <c r="I343" s="46">
        <f t="shared" si="190"/>
        <v>-99.93</v>
      </c>
      <c r="J343" s="46">
        <f t="shared" si="190"/>
        <v>550.06999999999994</v>
      </c>
      <c r="K343" s="46">
        <f t="shared" si="190"/>
        <v>550.07000000000005</v>
      </c>
      <c r="L343" s="46">
        <f t="shared" si="190"/>
        <v>130.16</v>
      </c>
    </row>
    <row r="344" spans="1:12" ht="31.5" x14ac:dyDescent="0.25">
      <c r="A344" s="10" t="s">
        <v>33</v>
      </c>
      <c r="B344" s="11" t="s">
        <v>150</v>
      </c>
      <c r="C344" s="11" t="s">
        <v>34</v>
      </c>
      <c r="D344" s="4">
        <v>50</v>
      </c>
      <c r="E344" s="4">
        <v>600</v>
      </c>
      <c r="F344" s="16">
        <f>D344+E344</f>
        <v>650</v>
      </c>
      <c r="G344" s="16"/>
      <c r="H344" s="16"/>
      <c r="I344" s="16">
        <v>-99.93</v>
      </c>
      <c r="J344" s="16">
        <f>F344+I344</f>
        <v>550.06999999999994</v>
      </c>
      <c r="K344" s="16">
        <v>550.07000000000005</v>
      </c>
      <c r="L344" s="16">
        <v>130.16</v>
      </c>
    </row>
    <row r="345" spans="1:12" ht="53.25" customHeight="1" x14ac:dyDescent="0.25">
      <c r="A345" s="21" t="s">
        <v>364</v>
      </c>
      <c r="B345" s="22" t="s">
        <v>151</v>
      </c>
      <c r="C345" s="22"/>
      <c r="D345" s="23">
        <f t="shared" ref="D345:L346" si="191">D346</f>
        <v>2893.7</v>
      </c>
      <c r="E345" s="23">
        <f t="shared" si="191"/>
        <v>0</v>
      </c>
      <c r="F345" s="28">
        <f t="shared" si="191"/>
        <v>2893.7</v>
      </c>
      <c r="G345" s="28">
        <f t="shared" si="191"/>
        <v>1000</v>
      </c>
      <c r="H345" s="28">
        <f t="shared" si="191"/>
        <v>0</v>
      </c>
      <c r="I345" s="28">
        <f t="shared" si="191"/>
        <v>0</v>
      </c>
      <c r="J345" s="28">
        <f t="shared" si="191"/>
        <v>3622.95</v>
      </c>
      <c r="K345" s="28">
        <f t="shared" si="191"/>
        <v>3622.95</v>
      </c>
      <c r="L345" s="28">
        <f t="shared" si="191"/>
        <v>1570.43</v>
      </c>
    </row>
    <row r="346" spans="1:12" ht="42" customHeight="1" x14ac:dyDescent="0.25">
      <c r="A346" s="44" t="s">
        <v>365</v>
      </c>
      <c r="B346" s="37" t="s">
        <v>151</v>
      </c>
      <c r="C346" s="37"/>
      <c r="D346" s="36">
        <f t="shared" si="191"/>
        <v>2893.7</v>
      </c>
      <c r="E346" s="36">
        <f t="shared" si="191"/>
        <v>0</v>
      </c>
      <c r="F346" s="46">
        <f t="shared" si="191"/>
        <v>2893.7</v>
      </c>
      <c r="G346" s="46">
        <f t="shared" si="191"/>
        <v>1000</v>
      </c>
      <c r="H346" s="46">
        <f t="shared" si="191"/>
        <v>0</v>
      </c>
      <c r="I346" s="46">
        <f t="shared" si="191"/>
        <v>0</v>
      </c>
      <c r="J346" s="46">
        <f t="shared" si="191"/>
        <v>3622.95</v>
      </c>
      <c r="K346" s="46">
        <f t="shared" si="191"/>
        <v>3622.95</v>
      </c>
      <c r="L346" s="46">
        <f t="shared" si="191"/>
        <v>1570.43</v>
      </c>
    </row>
    <row r="347" spans="1:12" ht="31.5" x14ac:dyDescent="0.25">
      <c r="A347" s="10" t="s">
        <v>33</v>
      </c>
      <c r="B347" s="11" t="s">
        <v>151</v>
      </c>
      <c r="C347" s="11" t="s">
        <v>34</v>
      </c>
      <c r="D347" s="4">
        <v>2893.7</v>
      </c>
      <c r="E347" s="4"/>
      <c r="F347" s="16">
        <f>D347+E347</f>
        <v>2893.7</v>
      </c>
      <c r="G347" s="16">
        <v>1000</v>
      </c>
      <c r="H347" s="16"/>
      <c r="I347" s="16"/>
      <c r="J347" s="16">
        <f>F347+G347-270.75</f>
        <v>3622.95</v>
      </c>
      <c r="K347" s="16">
        <v>3622.95</v>
      </c>
      <c r="L347" s="16">
        <v>1570.43</v>
      </c>
    </row>
    <row r="348" spans="1:12" ht="47.25" x14ac:dyDescent="0.25">
      <c r="A348" s="21" t="s">
        <v>152</v>
      </c>
      <c r="B348" s="22" t="s">
        <v>154</v>
      </c>
      <c r="C348" s="22"/>
      <c r="D348" s="23">
        <f t="shared" ref="D348:L349" si="192">D349</f>
        <v>100</v>
      </c>
      <c r="E348" s="23">
        <f t="shared" si="192"/>
        <v>300</v>
      </c>
      <c r="F348" s="28">
        <f t="shared" si="192"/>
        <v>400</v>
      </c>
      <c r="G348" s="28">
        <f t="shared" si="192"/>
        <v>0</v>
      </c>
      <c r="H348" s="28">
        <f t="shared" si="192"/>
        <v>0</v>
      </c>
      <c r="I348" s="28">
        <f t="shared" si="192"/>
        <v>0</v>
      </c>
      <c r="J348" s="28">
        <f t="shared" si="192"/>
        <v>400</v>
      </c>
      <c r="K348" s="28">
        <f t="shared" si="192"/>
        <v>400</v>
      </c>
      <c r="L348" s="28">
        <f t="shared" si="192"/>
        <v>236</v>
      </c>
    </row>
    <row r="349" spans="1:12" ht="31.5" x14ac:dyDescent="0.25">
      <c r="A349" s="44" t="s">
        <v>153</v>
      </c>
      <c r="B349" s="37" t="s">
        <v>154</v>
      </c>
      <c r="C349" s="37"/>
      <c r="D349" s="36">
        <f t="shared" si="192"/>
        <v>100</v>
      </c>
      <c r="E349" s="36">
        <f t="shared" si="192"/>
        <v>300</v>
      </c>
      <c r="F349" s="46">
        <f t="shared" si="192"/>
        <v>400</v>
      </c>
      <c r="G349" s="46">
        <f t="shared" si="192"/>
        <v>0</v>
      </c>
      <c r="H349" s="46">
        <f t="shared" si="192"/>
        <v>0</v>
      </c>
      <c r="I349" s="46">
        <f t="shared" si="192"/>
        <v>0</v>
      </c>
      <c r="J349" s="46">
        <f t="shared" si="192"/>
        <v>400</v>
      </c>
      <c r="K349" s="46">
        <f t="shared" si="192"/>
        <v>400</v>
      </c>
      <c r="L349" s="46">
        <f t="shared" si="192"/>
        <v>236</v>
      </c>
    </row>
    <row r="350" spans="1:12" ht="31.5" x14ac:dyDescent="0.25">
      <c r="A350" s="10" t="s">
        <v>33</v>
      </c>
      <c r="B350" s="11" t="s">
        <v>154</v>
      </c>
      <c r="C350" s="11" t="s">
        <v>34</v>
      </c>
      <c r="D350" s="4">
        <v>100</v>
      </c>
      <c r="E350" s="4">
        <v>300</v>
      </c>
      <c r="F350" s="16">
        <f>D350+E350</f>
        <v>400</v>
      </c>
      <c r="G350" s="16"/>
      <c r="H350" s="16"/>
      <c r="I350" s="16"/>
      <c r="J350" s="16">
        <f>F350+I350</f>
        <v>400</v>
      </c>
      <c r="K350" s="16">
        <v>400</v>
      </c>
      <c r="L350" s="16">
        <v>236</v>
      </c>
    </row>
    <row r="351" spans="1:12" ht="31.5" x14ac:dyDescent="0.25">
      <c r="A351" s="44" t="s">
        <v>182</v>
      </c>
      <c r="B351" s="37" t="s">
        <v>183</v>
      </c>
      <c r="C351" s="37"/>
      <c r="D351" s="36">
        <f t="shared" ref="D351:L351" si="193">D352</f>
        <v>300</v>
      </c>
      <c r="E351" s="36">
        <f t="shared" si="193"/>
        <v>260</v>
      </c>
      <c r="F351" s="46">
        <f t="shared" si="193"/>
        <v>560</v>
      </c>
      <c r="G351" s="46">
        <f t="shared" si="193"/>
        <v>0</v>
      </c>
      <c r="H351" s="46">
        <f t="shared" si="193"/>
        <v>0</v>
      </c>
      <c r="I351" s="46">
        <f t="shared" si="193"/>
        <v>0</v>
      </c>
      <c r="J351" s="46">
        <f t="shared" si="193"/>
        <v>560</v>
      </c>
      <c r="K351" s="46">
        <f t="shared" si="193"/>
        <v>591.77</v>
      </c>
      <c r="L351" s="46">
        <f t="shared" si="193"/>
        <v>590.98</v>
      </c>
    </row>
    <row r="352" spans="1:12" ht="31.5" x14ac:dyDescent="0.25">
      <c r="A352" s="10" t="s">
        <v>33</v>
      </c>
      <c r="B352" s="11" t="s">
        <v>183</v>
      </c>
      <c r="C352" s="11" t="s">
        <v>34</v>
      </c>
      <c r="D352" s="4">
        <v>300</v>
      </c>
      <c r="E352" s="4">
        <v>260</v>
      </c>
      <c r="F352" s="16">
        <f>D352+E352</f>
        <v>560</v>
      </c>
      <c r="G352" s="16"/>
      <c r="H352" s="16"/>
      <c r="I352" s="16"/>
      <c r="J352" s="16">
        <f>F352</f>
        <v>560</v>
      </c>
      <c r="K352" s="16">
        <v>591.77</v>
      </c>
      <c r="L352" s="16">
        <v>590.98</v>
      </c>
    </row>
    <row r="353" spans="1:17" ht="45" customHeight="1" x14ac:dyDescent="0.25">
      <c r="A353" s="21" t="s">
        <v>162</v>
      </c>
      <c r="B353" s="22" t="s">
        <v>161</v>
      </c>
      <c r="C353" s="22"/>
      <c r="D353" s="23">
        <f t="shared" ref="D353:L354" si="194">D354</f>
        <v>1050</v>
      </c>
      <c r="E353" s="23">
        <f t="shared" si="194"/>
        <v>0</v>
      </c>
      <c r="F353" s="28">
        <f t="shared" si="194"/>
        <v>1050</v>
      </c>
      <c r="G353" s="28">
        <f t="shared" si="194"/>
        <v>0</v>
      </c>
      <c r="H353" s="28">
        <f t="shared" si="194"/>
        <v>0</v>
      </c>
      <c r="I353" s="28">
        <f t="shared" si="194"/>
        <v>0</v>
      </c>
      <c r="J353" s="28">
        <f t="shared" si="194"/>
        <v>1050</v>
      </c>
      <c r="K353" s="28">
        <f t="shared" si="194"/>
        <v>1050</v>
      </c>
      <c r="L353" s="28">
        <f t="shared" si="194"/>
        <v>1050</v>
      </c>
    </row>
    <row r="354" spans="1:17" ht="15.75" x14ac:dyDescent="0.25">
      <c r="A354" s="44" t="s">
        <v>160</v>
      </c>
      <c r="B354" s="37" t="s">
        <v>161</v>
      </c>
      <c r="C354" s="37"/>
      <c r="D354" s="36">
        <f t="shared" si="194"/>
        <v>1050</v>
      </c>
      <c r="E354" s="36">
        <f t="shared" si="194"/>
        <v>0</v>
      </c>
      <c r="F354" s="46">
        <f t="shared" si="194"/>
        <v>1050</v>
      </c>
      <c r="G354" s="46">
        <f t="shared" si="194"/>
        <v>0</v>
      </c>
      <c r="H354" s="46">
        <f t="shared" si="194"/>
        <v>0</v>
      </c>
      <c r="I354" s="46">
        <f t="shared" si="194"/>
        <v>0</v>
      </c>
      <c r="J354" s="46">
        <f t="shared" si="194"/>
        <v>1050</v>
      </c>
      <c r="K354" s="46">
        <f t="shared" si="194"/>
        <v>1050</v>
      </c>
      <c r="L354" s="46">
        <f t="shared" si="194"/>
        <v>1050</v>
      </c>
    </row>
    <row r="355" spans="1:17" ht="31.5" x14ac:dyDescent="0.25">
      <c r="A355" s="10" t="s">
        <v>33</v>
      </c>
      <c r="B355" s="11" t="s">
        <v>161</v>
      </c>
      <c r="C355" s="11" t="s">
        <v>34</v>
      </c>
      <c r="D355" s="4">
        <v>1050</v>
      </c>
      <c r="E355" s="4"/>
      <c r="F355" s="16">
        <f>D355+E355</f>
        <v>1050</v>
      </c>
      <c r="G355" s="16"/>
      <c r="H355" s="16"/>
      <c r="I355" s="16"/>
      <c r="J355" s="16">
        <f>F355</f>
        <v>1050</v>
      </c>
      <c r="K355" s="16">
        <v>1050</v>
      </c>
      <c r="L355" s="16">
        <v>1050</v>
      </c>
    </row>
    <row r="356" spans="1:17" ht="47.25" x14ac:dyDescent="0.25">
      <c r="A356" s="21" t="s">
        <v>163</v>
      </c>
      <c r="B356" s="22" t="s">
        <v>164</v>
      </c>
      <c r="C356" s="22"/>
      <c r="D356" s="23">
        <f t="shared" ref="D356:L356" si="195">D357</f>
        <v>250</v>
      </c>
      <c r="E356" s="23">
        <f t="shared" si="195"/>
        <v>0</v>
      </c>
      <c r="F356" s="28">
        <f t="shared" si="195"/>
        <v>250</v>
      </c>
      <c r="G356" s="28">
        <f t="shared" si="195"/>
        <v>0</v>
      </c>
      <c r="H356" s="28">
        <f t="shared" si="195"/>
        <v>0</v>
      </c>
      <c r="I356" s="28">
        <f t="shared" si="195"/>
        <v>0</v>
      </c>
      <c r="J356" s="28">
        <f t="shared" si="195"/>
        <v>250</v>
      </c>
      <c r="K356" s="28">
        <f t="shared" si="195"/>
        <v>250</v>
      </c>
      <c r="L356" s="28">
        <f t="shared" si="195"/>
        <v>165.9</v>
      </c>
    </row>
    <row r="357" spans="1:17" ht="31.5" x14ac:dyDescent="0.25">
      <c r="A357" s="44" t="s">
        <v>366</v>
      </c>
      <c r="B357" s="37" t="s">
        <v>164</v>
      </c>
      <c r="C357" s="37"/>
      <c r="D357" s="36">
        <f>D359</f>
        <v>250</v>
      </c>
      <c r="E357" s="36">
        <f>E359</f>
        <v>0</v>
      </c>
      <c r="F357" s="46">
        <f t="shared" ref="F357:K357" si="196">F358+F359</f>
        <v>250</v>
      </c>
      <c r="G357" s="46">
        <f t="shared" si="196"/>
        <v>0</v>
      </c>
      <c r="H357" s="46">
        <f t="shared" si="196"/>
        <v>0</v>
      </c>
      <c r="I357" s="46">
        <f t="shared" si="196"/>
        <v>0</v>
      </c>
      <c r="J357" s="46">
        <f t="shared" si="196"/>
        <v>250</v>
      </c>
      <c r="K357" s="46">
        <f t="shared" si="196"/>
        <v>250</v>
      </c>
      <c r="L357" s="46">
        <f t="shared" ref="L357" si="197">L358+L359</f>
        <v>165.9</v>
      </c>
    </row>
    <row r="358" spans="1:17" ht="31.5" x14ac:dyDescent="0.25">
      <c r="A358" s="10" t="s">
        <v>33</v>
      </c>
      <c r="B358" s="11" t="s">
        <v>164</v>
      </c>
      <c r="C358" s="11" t="s">
        <v>34</v>
      </c>
      <c r="D358" s="4">
        <v>250</v>
      </c>
      <c r="E358" s="4"/>
      <c r="F358" s="16"/>
      <c r="G358" s="16"/>
      <c r="H358" s="16"/>
      <c r="I358" s="16">
        <v>43</v>
      </c>
      <c r="J358" s="16">
        <f>F358+I358</f>
        <v>43</v>
      </c>
      <c r="K358" s="16">
        <v>165.9</v>
      </c>
      <c r="L358" s="16">
        <v>165.9</v>
      </c>
    </row>
    <row r="359" spans="1:17" ht="15.75" x14ac:dyDescent="0.25">
      <c r="A359" s="10" t="s">
        <v>217</v>
      </c>
      <c r="B359" s="11" t="s">
        <v>164</v>
      </c>
      <c r="C359" s="11" t="s">
        <v>50</v>
      </c>
      <c r="D359" s="4">
        <v>250</v>
      </c>
      <c r="E359" s="4"/>
      <c r="F359" s="16">
        <f>D359+E359</f>
        <v>250</v>
      </c>
      <c r="G359" s="16"/>
      <c r="H359" s="16"/>
      <c r="I359" s="16">
        <v>-43</v>
      </c>
      <c r="J359" s="16">
        <f>F359+I359</f>
        <v>207</v>
      </c>
      <c r="K359" s="16">
        <v>84.1</v>
      </c>
      <c r="L359" s="16">
        <v>0</v>
      </c>
    </row>
    <row r="360" spans="1:17" ht="15.75" x14ac:dyDescent="0.25">
      <c r="A360" s="6" t="s">
        <v>21</v>
      </c>
      <c r="B360" s="7" t="s">
        <v>203</v>
      </c>
      <c r="C360" s="7"/>
      <c r="D360" s="6" t="e">
        <f t="shared" ref="D360:L360" si="198">D361+D363+D365+D368</f>
        <v>#REF!</v>
      </c>
      <c r="E360" s="6" t="e">
        <f t="shared" si="198"/>
        <v>#REF!</v>
      </c>
      <c r="F360" s="15" t="e">
        <f t="shared" si="198"/>
        <v>#REF!</v>
      </c>
      <c r="G360" s="15" t="e">
        <f t="shared" si="198"/>
        <v>#REF!</v>
      </c>
      <c r="H360" s="15" t="e">
        <f t="shared" si="198"/>
        <v>#REF!</v>
      </c>
      <c r="I360" s="15" t="e">
        <f t="shared" si="198"/>
        <v>#REF!</v>
      </c>
      <c r="J360" s="15" t="e">
        <f t="shared" si="198"/>
        <v>#REF!</v>
      </c>
      <c r="K360" s="15">
        <f t="shared" si="198"/>
        <v>22181.9</v>
      </c>
      <c r="L360" s="15">
        <f t="shared" si="198"/>
        <v>16129.560000000001</v>
      </c>
    </row>
    <row r="361" spans="1:17" ht="63" x14ac:dyDescent="0.25">
      <c r="A361" s="56" t="s">
        <v>202</v>
      </c>
      <c r="B361" s="55" t="s">
        <v>204</v>
      </c>
      <c r="C361" s="55"/>
      <c r="D361" s="54">
        <f t="shared" ref="D361:L361" si="199">D362</f>
        <v>181.9</v>
      </c>
      <c r="E361" s="54">
        <f t="shared" si="199"/>
        <v>0</v>
      </c>
      <c r="F361" s="69">
        <f t="shared" si="199"/>
        <v>181.9</v>
      </c>
      <c r="G361" s="69">
        <f t="shared" si="199"/>
        <v>0</v>
      </c>
      <c r="H361" s="69">
        <f t="shared" si="199"/>
        <v>0</v>
      </c>
      <c r="I361" s="69">
        <f t="shared" si="199"/>
        <v>0</v>
      </c>
      <c r="J361" s="69">
        <f t="shared" si="199"/>
        <v>181.9</v>
      </c>
      <c r="K361" s="69">
        <f t="shared" si="199"/>
        <v>181.9</v>
      </c>
      <c r="L361" s="69">
        <f t="shared" si="199"/>
        <v>181.9</v>
      </c>
    </row>
    <row r="362" spans="1:17" ht="31.5" x14ac:dyDescent="0.25">
      <c r="A362" s="57" t="s">
        <v>33</v>
      </c>
      <c r="B362" s="58" t="s">
        <v>204</v>
      </c>
      <c r="C362" s="58" t="s">
        <v>34</v>
      </c>
      <c r="D362" s="59">
        <v>181.9</v>
      </c>
      <c r="E362" s="59"/>
      <c r="F362" s="70">
        <f>D362+E362</f>
        <v>181.9</v>
      </c>
      <c r="G362" s="70"/>
      <c r="H362" s="70"/>
      <c r="I362" s="70"/>
      <c r="J362" s="70">
        <f>F362</f>
        <v>181.9</v>
      </c>
      <c r="K362" s="70">
        <v>181.9</v>
      </c>
      <c r="L362" s="70">
        <v>181.9</v>
      </c>
    </row>
    <row r="363" spans="1:17" ht="55.5" customHeight="1" x14ac:dyDescent="0.25">
      <c r="A363" s="44" t="s">
        <v>22</v>
      </c>
      <c r="B363" s="37" t="s">
        <v>155</v>
      </c>
      <c r="C363" s="37"/>
      <c r="D363" s="36">
        <f t="shared" ref="D363:L363" si="200">D364</f>
        <v>5000</v>
      </c>
      <c r="E363" s="36">
        <f t="shared" si="200"/>
        <v>0</v>
      </c>
      <c r="F363" s="46">
        <f t="shared" si="200"/>
        <v>8000</v>
      </c>
      <c r="G363" s="46">
        <f t="shared" si="200"/>
        <v>0</v>
      </c>
      <c r="H363" s="46">
        <f t="shared" si="200"/>
        <v>0</v>
      </c>
      <c r="I363" s="46">
        <f t="shared" si="200"/>
        <v>7000</v>
      </c>
      <c r="J363" s="46">
        <f t="shared" si="200"/>
        <v>15000</v>
      </c>
      <c r="K363" s="46">
        <f t="shared" si="200"/>
        <v>15000</v>
      </c>
      <c r="L363" s="46">
        <f t="shared" si="200"/>
        <v>10426.77</v>
      </c>
    </row>
    <row r="364" spans="1:17" ht="15.75" x14ac:dyDescent="0.25">
      <c r="A364" s="10" t="s">
        <v>217</v>
      </c>
      <c r="B364" s="11" t="s">
        <v>155</v>
      </c>
      <c r="C364" s="11" t="s">
        <v>50</v>
      </c>
      <c r="D364" s="4">
        <v>5000</v>
      </c>
      <c r="E364" s="4"/>
      <c r="F364" s="16">
        <f>D364+E364+3000</f>
        <v>8000</v>
      </c>
      <c r="G364" s="16"/>
      <c r="H364" s="16"/>
      <c r="I364" s="16">
        <v>7000</v>
      </c>
      <c r="J364" s="16">
        <f>F364+I364</f>
        <v>15000</v>
      </c>
      <c r="K364" s="16">
        <v>15000</v>
      </c>
      <c r="L364" s="16">
        <v>10426.77</v>
      </c>
    </row>
    <row r="365" spans="1:17" ht="15.75" x14ac:dyDescent="0.25">
      <c r="A365" s="45" t="s">
        <v>159</v>
      </c>
      <c r="B365" s="37" t="s">
        <v>281</v>
      </c>
      <c r="C365" s="37"/>
      <c r="D365" s="36" t="e">
        <f>D366+#REF!</f>
        <v>#REF!</v>
      </c>
      <c r="E365" s="36" t="e">
        <f>E366+#REF!</f>
        <v>#REF!</v>
      </c>
      <c r="F365" s="46" t="e">
        <f>F366+#REF!</f>
        <v>#REF!</v>
      </c>
      <c r="G365" s="46" t="e">
        <f>G366+#REF!</f>
        <v>#REF!</v>
      </c>
      <c r="H365" s="46" t="e">
        <f>H366+#REF!</f>
        <v>#REF!</v>
      </c>
      <c r="I365" s="46" t="e">
        <f>I366+#REF!</f>
        <v>#REF!</v>
      </c>
      <c r="J365" s="46" t="e">
        <f>J366+#REF!</f>
        <v>#REF!</v>
      </c>
      <c r="K365" s="46">
        <f>K366</f>
        <v>7000</v>
      </c>
      <c r="L365" s="46">
        <f>L366</f>
        <v>5520.89</v>
      </c>
    </row>
    <row r="366" spans="1:17" ht="31.5" x14ac:dyDescent="0.25">
      <c r="A366" s="45" t="s">
        <v>18</v>
      </c>
      <c r="B366" s="37" t="s">
        <v>158</v>
      </c>
      <c r="C366" s="37"/>
      <c r="D366" s="36">
        <f t="shared" ref="D366:L366" si="201">D367</f>
        <v>5000</v>
      </c>
      <c r="E366" s="36">
        <f t="shared" si="201"/>
        <v>0</v>
      </c>
      <c r="F366" s="46">
        <f t="shared" si="201"/>
        <v>5000</v>
      </c>
      <c r="G366" s="46">
        <f t="shared" si="201"/>
        <v>0</v>
      </c>
      <c r="H366" s="46">
        <f t="shared" si="201"/>
        <v>0</v>
      </c>
      <c r="I366" s="46">
        <f t="shared" si="201"/>
        <v>1000</v>
      </c>
      <c r="J366" s="46">
        <f t="shared" si="201"/>
        <v>6000</v>
      </c>
      <c r="K366" s="46">
        <f t="shared" si="201"/>
        <v>7000</v>
      </c>
      <c r="L366" s="46">
        <f t="shared" si="201"/>
        <v>5520.89</v>
      </c>
      <c r="N366" s="88"/>
      <c r="O366" s="88"/>
      <c r="P366" s="88"/>
      <c r="Q366" s="88"/>
    </row>
    <row r="367" spans="1:17" ht="15.75" x14ac:dyDescent="0.25">
      <c r="A367" s="12" t="s">
        <v>217</v>
      </c>
      <c r="B367" s="11" t="s">
        <v>158</v>
      </c>
      <c r="C367" s="11" t="s">
        <v>50</v>
      </c>
      <c r="D367" s="4">
        <v>5000</v>
      </c>
      <c r="E367" s="4"/>
      <c r="F367" s="16">
        <f>D367+E367</f>
        <v>5000</v>
      </c>
      <c r="G367" s="16"/>
      <c r="H367" s="16"/>
      <c r="I367" s="16">
        <v>1000</v>
      </c>
      <c r="J367" s="16">
        <f>F367+I367</f>
        <v>6000</v>
      </c>
      <c r="K367" s="16">
        <v>7000</v>
      </c>
      <c r="L367" s="90">
        <v>5520.89</v>
      </c>
      <c r="N367" s="89"/>
      <c r="O367" s="88"/>
      <c r="P367" s="88"/>
      <c r="Q367" s="88"/>
    </row>
    <row r="368" spans="1:17" ht="47.25" x14ac:dyDescent="0.25">
      <c r="A368" s="44" t="s">
        <v>175</v>
      </c>
      <c r="B368" s="37" t="s">
        <v>166</v>
      </c>
      <c r="C368" s="37"/>
      <c r="D368" s="36">
        <f t="shared" ref="D368:L368" si="202">D369</f>
        <v>16409.099999999999</v>
      </c>
      <c r="E368" s="36">
        <f t="shared" si="202"/>
        <v>142658.17000000001</v>
      </c>
      <c r="F368" s="46">
        <f t="shared" si="202"/>
        <v>164117.77000000002</v>
      </c>
      <c r="G368" s="46">
        <f t="shared" si="202"/>
        <v>-60364.85</v>
      </c>
      <c r="H368" s="46">
        <f t="shared" si="202"/>
        <v>-0.5</v>
      </c>
      <c r="I368" s="46">
        <f t="shared" si="202"/>
        <v>-5058.3599999999997</v>
      </c>
      <c r="J368" s="46">
        <f t="shared" si="202"/>
        <v>98072.560000000012</v>
      </c>
      <c r="K368" s="46">
        <f t="shared" si="202"/>
        <v>0</v>
      </c>
      <c r="L368" s="46">
        <f t="shared" si="202"/>
        <v>0</v>
      </c>
      <c r="N368" s="88"/>
      <c r="O368" s="88"/>
      <c r="P368" s="88"/>
      <c r="Q368" s="88"/>
    </row>
    <row r="369" spans="1:17" ht="31.5" x14ac:dyDescent="0.25">
      <c r="A369" s="10" t="s">
        <v>165</v>
      </c>
      <c r="B369" s="11" t="s">
        <v>166</v>
      </c>
      <c r="C369" s="11" t="s">
        <v>167</v>
      </c>
      <c r="D369" s="4">
        <f>20196-3900+113.1</f>
        <v>16409.099999999999</v>
      </c>
      <c r="E369" s="4">
        <v>142658.17000000001</v>
      </c>
      <c r="F369" s="16">
        <f>D369+E369+5050.5</f>
        <v>164117.77000000002</v>
      </c>
      <c r="G369" s="16">
        <v>-60364.85</v>
      </c>
      <c r="H369" s="16">
        <v>-0.5</v>
      </c>
      <c r="I369" s="16">
        <f>-5374.16+315.8</f>
        <v>-5058.3599999999997</v>
      </c>
      <c r="J369" s="16">
        <f>F369+G369+H369+I369-621.5</f>
        <v>98072.560000000012</v>
      </c>
      <c r="K369" s="16">
        <v>0</v>
      </c>
      <c r="L369" s="16">
        <v>0</v>
      </c>
      <c r="N369" s="88"/>
      <c r="O369" s="88"/>
      <c r="P369" s="88"/>
      <c r="Q369" s="88"/>
    </row>
    <row r="370" spans="1:17" ht="15.75" x14ac:dyDescent="0.25">
      <c r="A370" s="17" t="s">
        <v>7</v>
      </c>
      <c r="B370" s="18"/>
      <c r="C370" s="18"/>
      <c r="D370" s="19" t="e">
        <f t="shared" ref="D370:L370" si="203">D360+D235+D156+D131+D72+D38+D12+D302+D323+D333+D341</f>
        <v>#REF!</v>
      </c>
      <c r="E370" s="19" t="e">
        <f t="shared" si="203"/>
        <v>#REF!</v>
      </c>
      <c r="F370" s="19" t="e">
        <f t="shared" si="203"/>
        <v>#REF!</v>
      </c>
      <c r="G370" s="19" t="e">
        <f t="shared" si="203"/>
        <v>#REF!</v>
      </c>
      <c r="H370" s="19" t="e">
        <f t="shared" si="203"/>
        <v>#REF!</v>
      </c>
      <c r="I370" s="19" t="e">
        <f t="shared" si="203"/>
        <v>#REF!</v>
      </c>
      <c r="J370" s="19" t="e">
        <f t="shared" si="203"/>
        <v>#REF!</v>
      </c>
      <c r="K370" s="19">
        <f t="shared" si="203"/>
        <v>1132470.3700000001</v>
      </c>
      <c r="L370" s="19">
        <f t="shared" si="203"/>
        <v>1061990.7899999998</v>
      </c>
    </row>
    <row r="372" spans="1:17" x14ac:dyDescent="0.2">
      <c r="L372" s="81"/>
    </row>
  </sheetData>
  <mergeCells count="16">
    <mergeCell ref="A10:A11"/>
    <mergeCell ref="B10:B11"/>
    <mergeCell ref="C10:C11"/>
    <mergeCell ref="A8:L8"/>
    <mergeCell ref="L10:L11"/>
    <mergeCell ref="K10:K11"/>
    <mergeCell ref="C9:D9"/>
    <mergeCell ref="H10:H11"/>
    <mergeCell ref="G10:G11"/>
    <mergeCell ref="I10:I11"/>
    <mergeCell ref="J10:J11"/>
    <mergeCell ref="B6:K6"/>
    <mergeCell ref="B5:L5"/>
    <mergeCell ref="A4:L4"/>
    <mergeCell ref="A3:L3"/>
    <mergeCell ref="A2:L2"/>
  </mergeCells>
  <phoneticPr fontId="0" type="noConversion"/>
  <pageMargins left="0.15748031496062992" right="0.15748031496062992" top="0.43307086614173229" bottom="0.23622047244094491" header="0.23622047244094491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2019-04-17T13:46:58Z</cp:lastPrinted>
  <dcterms:created xsi:type="dcterms:W3CDTF">1996-10-08T23:32:33Z</dcterms:created>
  <dcterms:modified xsi:type="dcterms:W3CDTF">2019-04-17T13:47:01Z</dcterms:modified>
</cp:coreProperties>
</file>